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03"/>
  <workbookPr/>
  <mc:AlternateContent xmlns:mc="http://schemas.openxmlformats.org/markup-compatibility/2006">
    <mc:Choice Requires="x15">
      <x15ac:absPath xmlns:x15ac="http://schemas.microsoft.com/office/spreadsheetml/2010/11/ac" url="https://imperiallondon.sharepoint.com/sites/EURECHA99-CE/Shared Documents/General/Economics + Heat Integration/"/>
    </mc:Choice>
  </mc:AlternateContent>
  <xr:revisionPtr revIDLastSave="1121" documentId="8_{6003BE1A-2F71-482B-9A67-7A03E4BD5FA5}" xr6:coauthVersionLast="47" xr6:coauthVersionMax="47" xr10:uidLastSave="{74B79CD7-4BDD-4A74-B0A1-9178DBF4B40C}"/>
  <bookViews>
    <workbookView xWindow="-110" yWindow="-110" windowWidth="19420" windowHeight="11500" firstSheet="6" activeTab="6" xr2:uid="{9826E860-B5FE-4353-B6CE-26FE1E1C7DAF}"/>
  </bookViews>
  <sheets>
    <sheet name="Carbon Capture - MEA" sheetId="1" r:id="rId1"/>
    <sheet name="Carbon Capture - DAC" sheetId="2" r:id="rId2"/>
    <sheet name="Main Process (Base_NoCapture)" sheetId="7" r:id="rId3"/>
    <sheet name="Main Process (Base_MEA)" sheetId="4" r:id="rId4"/>
    <sheet name="Main Process (Base_DAC)" sheetId="8" r:id="rId5"/>
    <sheet name="Main Process (0.2ECR)" sheetId="6" r:id="rId6"/>
    <sheet name="Main Process (ECR sens)" sheetId="10" r:id="rId7"/>
    <sheet name="Sheet1" sheetId="9" r:id="rId8"/>
    <sheet name="IGNORE" sheetId="5" r:id="rId9"/>
  </sheets>
  <calcPr calcId="191028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6" i="10" l="1"/>
  <c r="M65" i="10"/>
  <c r="M5" i="10"/>
  <c r="D10" i="10" s="1"/>
  <c r="M60" i="10"/>
  <c r="M62" i="10" s="1"/>
  <c r="M52" i="10"/>
  <c r="M41" i="10"/>
  <c r="M40" i="10"/>
  <c r="M39" i="10"/>
  <c r="M42" i="10" s="1"/>
  <c r="M31" i="10"/>
  <c r="M30" i="10"/>
  <c r="M32" i="10" s="1"/>
  <c r="D28" i="10"/>
  <c r="D22" i="10"/>
  <c r="M18" i="10"/>
  <c r="M21" i="10" s="1"/>
  <c r="D9" i="10" s="1"/>
  <c r="M16" i="10"/>
  <c r="M10" i="10"/>
  <c r="M4" i="10" l="1"/>
  <c r="D3" i="10" s="1"/>
  <c r="D5" i="10" s="1"/>
  <c r="D14" i="10" s="1"/>
  <c r="M43" i="10"/>
  <c r="M44" i="10" s="1"/>
  <c r="D11" i="10" s="1"/>
  <c r="D13" i="10" l="1"/>
  <c r="D15" i="10" s="1"/>
  <c r="D32" i="10" s="1"/>
  <c r="M69" i="7" l="1"/>
  <c r="M68" i="7"/>
  <c r="M65" i="8"/>
  <c r="M65" i="4"/>
  <c r="M66" i="4"/>
  <c r="M66" i="8"/>
  <c r="M65" i="6"/>
  <c r="M66" i="6"/>
  <c r="M5" i="6" l="1"/>
  <c r="D10" i="6" s="1"/>
  <c r="D11" i="6" l="1"/>
  <c r="D11" i="8"/>
  <c r="D11" i="4"/>
  <c r="D11" i="7"/>
  <c r="M60" i="8"/>
  <c r="M62" i="8" s="1"/>
  <c r="M4" i="8" s="1"/>
  <c r="D3" i="8" s="1"/>
  <c r="D5" i="8" s="1"/>
  <c r="M52" i="8"/>
  <c r="M43" i="8"/>
  <c r="M42" i="8"/>
  <c r="M41" i="8"/>
  <c r="M40" i="8"/>
  <c r="M39" i="8"/>
  <c r="M31" i="8"/>
  <c r="M30" i="8"/>
  <c r="M32" i="8" s="1"/>
  <c r="M44" i="8" s="1"/>
  <c r="D28" i="8"/>
  <c r="D22" i="8"/>
  <c r="M16" i="8"/>
  <c r="M10" i="8"/>
  <c r="M18" i="8" s="1"/>
  <c r="M21" i="8" s="1"/>
  <c r="D9" i="8" s="1"/>
  <c r="M5" i="8"/>
  <c r="D10" i="8" s="1"/>
  <c r="M35" i="7"/>
  <c r="M33" i="7"/>
  <c r="M32" i="7"/>
  <c r="D22" i="6"/>
  <c r="D22" i="4"/>
  <c r="D28" i="6"/>
  <c r="M5" i="7"/>
  <c r="D10" i="7" s="1"/>
  <c r="M63" i="7"/>
  <c r="M65" i="7" s="1"/>
  <c r="M4" i="7" s="1"/>
  <c r="D3" i="7" s="1"/>
  <c r="D5" i="7" s="1"/>
  <c r="M55" i="7"/>
  <c r="M44" i="7"/>
  <c r="M43" i="7"/>
  <c r="M42" i="7"/>
  <c r="M45" i="7" s="1"/>
  <c r="M46" i="7" s="1"/>
  <c r="M34" i="7"/>
  <c r="M47" i="7"/>
  <c r="D28" i="7"/>
  <c r="D22" i="7"/>
  <c r="M16" i="7"/>
  <c r="M10" i="7" s="1"/>
  <c r="M18" i="7" s="1"/>
  <c r="M21" i="7" s="1"/>
  <c r="D9" i="7" s="1"/>
  <c r="M60" i="6"/>
  <c r="M62" i="6" s="1"/>
  <c r="M4" i="6" s="1"/>
  <c r="D3" i="6" s="1"/>
  <c r="D5" i="6" s="1"/>
  <c r="M52" i="6"/>
  <c r="M42" i="6"/>
  <c r="M41" i="6"/>
  <c r="M40" i="6"/>
  <c r="M43" i="6" s="1"/>
  <c r="M39" i="6"/>
  <c r="M32" i="6"/>
  <c r="M31" i="6"/>
  <c r="M30" i="6"/>
  <c r="M16" i="6"/>
  <c r="M10" i="6"/>
  <c r="M18" i="6" s="1"/>
  <c r="M21" i="6" s="1"/>
  <c r="D9" i="6" s="1"/>
  <c r="D28" i="4"/>
  <c r="M39" i="4"/>
  <c r="D13" i="8" l="1"/>
  <c r="D14" i="8"/>
  <c r="D13" i="7"/>
  <c r="D14" i="7"/>
  <c r="M44" i="6"/>
  <c r="D14" i="6"/>
  <c r="D13" i="6"/>
  <c r="L4" i="1"/>
  <c r="M60" i="4"/>
  <c r="M62" i="4" s="1"/>
  <c r="M4" i="4" s="1"/>
  <c r="D3" i="4" s="1"/>
  <c r="D5" i="4" s="1"/>
  <c r="M5" i="4"/>
  <c r="D10" i="4" s="1"/>
  <c r="M71" i="5"/>
  <c r="M61" i="5"/>
  <c r="M60" i="5"/>
  <c r="M59" i="5"/>
  <c r="M62" i="5" s="1"/>
  <c r="D34" i="5" s="1"/>
  <c r="M50" i="5"/>
  <c r="M49" i="5"/>
  <c r="M51" i="5" s="1"/>
  <c r="D46" i="5"/>
  <c r="D35" i="5"/>
  <c r="M33" i="5"/>
  <c r="D33" i="5"/>
  <c r="D28" i="5"/>
  <c r="D37" i="5" s="1"/>
  <c r="M27" i="5"/>
  <c r="M35" i="5" s="1"/>
  <c r="M38" i="5" s="1"/>
  <c r="D32" i="5" s="1"/>
  <c r="D26" i="5"/>
  <c r="D21" i="5"/>
  <c r="D53" i="5" s="1"/>
  <c r="M20" i="5"/>
  <c r="M14" i="5"/>
  <c r="M22" i="5" s="1"/>
  <c r="M25" i="5" s="1"/>
  <c r="D12" i="5"/>
  <c r="D10" i="5"/>
  <c r="D5" i="5"/>
  <c r="D51" i="5" s="1"/>
  <c r="D3" i="5"/>
  <c r="D12" i="2"/>
  <c r="D15" i="6" l="1"/>
  <c r="D32" i="6" s="1"/>
  <c r="D15" i="7"/>
  <c r="M39" i="5"/>
  <c r="D9" i="5"/>
  <c r="M63" i="5"/>
  <c r="D11" i="5"/>
  <c r="D36" i="5"/>
  <c r="D38" i="5" s="1"/>
  <c r="D13" i="5"/>
  <c r="D14" i="5"/>
  <c r="M41" i="4"/>
  <c r="M42" i="4"/>
  <c r="M40" i="4"/>
  <c r="M31" i="4"/>
  <c r="M52" i="4"/>
  <c r="D15" i="5" l="1"/>
  <c r="D52" i="5" s="1"/>
  <c r="M43" i="4"/>
  <c r="M16" i="4" l="1"/>
  <c r="M10" i="4" s="1"/>
  <c r="M30" i="4"/>
  <c r="M32" i="4" s="1"/>
  <c r="L33" i="2"/>
  <c r="L34" i="2"/>
  <c r="L35" i="2"/>
  <c r="L32" i="2"/>
  <c r="L14" i="2"/>
  <c r="L8" i="2" s="1"/>
  <c r="L16" i="2" s="1"/>
  <c r="L19" i="2" s="1"/>
  <c r="D9" i="2" s="1"/>
  <c r="D10" i="2"/>
  <c r="D3" i="2"/>
  <c r="D5" i="2" s="1"/>
  <c r="L29" i="1"/>
  <c r="L28" i="1"/>
  <c r="L30" i="1" s="1"/>
  <c r="D11" i="1" s="1"/>
  <c r="L36" i="1"/>
  <c r="D12" i="1" s="1"/>
  <c r="D10" i="1"/>
  <c r="D3" i="1"/>
  <c r="D5" i="1" s="1"/>
  <c r="D14" i="1" s="1"/>
  <c r="L14" i="1"/>
  <c r="L8" i="1" s="1"/>
  <c r="L16" i="1" s="1"/>
  <c r="L19" i="1" s="1"/>
  <c r="D9" i="1" s="1"/>
  <c r="L36" i="2" l="1"/>
  <c r="D11" i="2" s="1"/>
  <c r="M44" i="4"/>
  <c r="M18" i="4"/>
  <c r="M21" i="4" s="1"/>
  <c r="D9" i="4" s="1"/>
  <c r="D14" i="2"/>
  <c r="D13" i="2"/>
  <c r="D13" i="1"/>
  <c r="D15" i="1" s="1"/>
  <c r="D14" i="4" l="1"/>
  <c r="D13" i="4"/>
  <c r="D15" i="4" s="1"/>
  <c r="D15" i="2"/>
  <c r="D15" i="8" s="1"/>
</calcChain>
</file>

<file path=xl/sharedStrings.xml><?xml version="1.0" encoding="utf-8"?>
<sst xmlns="http://schemas.openxmlformats.org/spreadsheetml/2006/main" count="2149" uniqueCount="161">
  <si>
    <t>CAPEX</t>
  </si>
  <si>
    <t>ASPEN</t>
  </si>
  <si>
    <t>Symbol</t>
  </si>
  <si>
    <t>Source</t>
  </si>
  <si>
    <t>Value</t>
  </si>
  <si>
    <t>Unit</t>
  </si>
  <si>
    <t>Notes</t>
  </si>
  <si>
    <t>Captial Cost</t>
  </si>
  <si>
    <t>C_C</t>
  </si>
  <si>
    <t>$</t>
  </si>
  <si>
    <t>Capital Cost</t>
  </si>
  <si>
    <t>-</t>
  </si>
  <si>
    <t>Working Capital</t>
  </si>
  <si>
    <t>WC</t>
  </si>
  <si>
    <t>Sinnott</t>
  </si>
  <si>
    <t>10% added on from capital</t>
  </si>
  <si>
    <t>Utility Cost</t>
  </si>
  <si>
    <t>$/yr</t>
  </si>
  <si>
    <t>TOTAL CAPEX</t>
  </si>
  <si>
    <t>Cost of Operating Labour Calc</t>
  </si>
  <si>
    <t>OPEX</t>
  </si>
  <si>
    <t>Method</t>
  </si>
  <si>
    <t xml:space="preserve">Source </t>
  </si>
  <si>
    <t>No. of Operators required per shift</t>
  </si>
  <si>
    <t>N_OL</t>
  </si>
  <si>
    <t>N_NP, P</t>
  </si>
  <si>
    <t>Cost of Operating Labor</t>
  </si>
  <si>
    <t>C_OL</t>
  </si>
  <si>
    <t>C_OL Cal</t>
  </si>
  <si>
    <t>No. of Compressors</t>
  </si>
  <si>
    <t>Aspen</t>
  </si>
  <si>
    <t xml:space="preserve">Cost of Utilites </t>
  </si>
  <si>
    <t>C_UT</t>
  </si>
  <si>
    <t>No. of Towers</t>
  </si>
  <si>
    <t>Cost of Raw Materials</t>
  </si>
  <si>
    <t>C_RM</t>
  </si>
  <si>
    <t>C_RM Cal</t>
  </si>
  <si>
    <t>No. of Reactors</t>
  </si>
  <si>
    <t>Cost of Waste Treatment</t>
  </si>
  <si>
    <t>C_WT</t>
  </si>
  <si>
    <t>C_WT Cal</t>
  </si>
  <si>
    <t xml:space="preserve">No. of Heaters/Coolers </t>
  </si>
  <si>
    <t>Cost of Maintenance Materials</t>
  </si>
  <si>
    <t>MAINT</t>
  </si>
  <si>
    <t>5% added from CAPEX</t>
  </si>
  <si>
    <t>No. of Exchangers</t>
  </si>
  <si>
    <t>Selling, General &amp; Admin</t>
  </si>
  <si>
    <t>SG&amp;A</t>
  </si>
  <si>
    <t>10% added from CAPEX</t>
  </si>
  <si>
    <t>No. of non-particulate process steps</t>
  </si>
  <si>
    <t>N_NP</t>
  </si>
  <si>
    <t>TOTAL OPEX</t>
  </si>
  <si>
    <t>No. of Operators hired per operator required</t>
  </si>
  <si>
    <t xml:space="preserve">Total Number of Operators required </t>
  </si>
  <si>
    <t>N_OP</t>
  </si>
  <si>
    <t>Number of processing steps for solids</t>
  </si>
  <si>
    <t>P</t>
  </si>
  <si>
    <t>This means how many sections in the process involve some type of solid handling (use of catalysts counts)</t>
  </si>
  <si>
    <t>Average Salary for an operator</t>
  </si>
  <si>
    <t>S_O</t>
  </si>
  <si>
    <t>TOTAL COST OF OPERATING LABOR</t>
  </si>
  <si>
    <t>Methodology from Turton</t>
  </si>
  <si>
    <t>Cost of Raw Materials Calc</t>
  </si>
  <si>
    <t>CARBON CAPTURE - MEA</t>
  </si>
  <si>
    <t>MEA Cost</t>
  </si>
  <si>
    <t>BusAna</t>
  </si>
  <si>
    <t>$/kg</t>
  </si>
  <si>
    <t>Water Cost</t>
  </si>
  <si>
    <t>Turton</t>
  </si>
  <si>
    <t>Assumed Deionised</t>
  </si>
  <si>
    <t>MEA Input</t>
  </si>
  <si>
    <t>kg/yr</t>
  </si>
  <si>
    <t xml:space="preserve">Water Input </t>
  </si>
  <si>
    <t>Total MEA Cost</t>
  </si>
  <si>
    <t>Total Water Cost</t>
  </si>
  <si>
    <t>TOTAL COST OF RAW MATERIALS</t>
  </si>
  <si>
    <t>Cost of Waste Treatment Calc</t>
  </si>
  <si>
    <t>MEA Disposal Costs</t>
  </si>
  <si>
    <t>Cost is for hazardous disposal</t>
  </si>
  <si>
    <t xml:space="preserve">MEA Disposed </t>
  </si>
  <si>
    <t>TOTAL MEA DISPOSAL COSTS</t>
  </si>
  <si>
    <t>CARBON CAPTURE - DAC</t>
  </si>
  <si>
    <t>NaOH Cost</t>
  </si>
  <si>
    <t>NaCost</t>
  </si>
  <si>
    <t>CaCO3 Cost</t>
  </si>
  <si>
    <t>CalCost</t>
  </si>
  <si>
    <t>Air Pumping Cost</t>
  </si>
  <si>
    <t>$/m3</t>
  </si>
  <si>
    <t>NaOH Input</t>
  </si>
  <si>
    <t>CaCO3 Input</t>
  </si>
  <si>
    <t xml:space="preserve">Air Input </t>
  </si>
  <si>
    <t>m3/yr</t>
  </si>
  <si>
    <t>Total NaOH Cost</t>
  </si>
  <si>
    <t>Total Ca(OH)2 Cost</t>
  </si>
  <si>
    <t>Total Air Pumping Costs</t>
  </si>
  <si>
    <r>
      <t xml:space="preserve">CAPEX - </t>
    </r>
    <r>
      <rPr>
        <b/>
        <u/>
        <sz val="11"/>
        <color theme="0"/>
        <rFont val="Aptos Narrow"/>
        <family val="2"/>
        <scheme val="minor"/>
      </rPr>
      <t>Formaldehyde Production Node</t>
    </r>
  </si>
  <si>
    <t>Formaldehyde Production Node</t>
  </si>
  <si>
    <t>TOTAL CAPEX - Formaldehyde Production Node</t>
  </si>
  <si>
    <r>
      <t xml:space="preserve">OPEX - </t>
    </r>
    <r>
      <rPr>
        <b/>
        <u/>
        <sz val="11"/>
        <color theme="0"/>
        <rFont val="Aptos Narrow"/>
        <family val="2"/>
        <scheme val="minor"/>
      </rPr>
      <t>Formaldehyde Production Node</t>
    </r>
  </si>
  <si>
    <t xml:space="preserve">Formaldehyde Production Node </t>
  </si>
  <si>
    <t>It was very small so I removed it</t>
  </si>
  <si>
    <t>TOTAL OPEX - Formaldehyde Production Node</t>
  </si>
  <si>
    <r>
      <t xml:space="preserve">Revenue Generation - </t>
    </r>
    <r>
      <rPr>
        <b/>
        <u/>
        <sz val="11"/>
        <color theme="0"/>
        <rFont val="Aptos Narrow"/>
        <family val="2"/>
        <scheme val="minor"/>
      </rPr>
      <t>Formaldehyde Production Node</t>
    </r>
  </si>
  <si>
    <t>Methanol Production Node</t>
  </si>
  <si>
    <t xml:space="preserve">Selling Price of Methanol </t>
  </si>
  <si>
    <t>MethSell</t>
  </si>
  <si>
    <t>Amount of Methanol Sold</t>
  </si>
  <si>
    <t>Operating Labor Cost for Formaldehyde Production Node</t>
  </si>
  <si>
    <t xml:space="preserve">Revenue from Methanol </t>
  </si>
  <si>
    <t>Selling Price of Formaldehyde</t>
  </si>
  <si>
    <t>FormSell</t>
  </si>
  <si>
    <t>Amount of Formaldehyde Sold</t>
  </si>
  <si>
    <t>CO2 Cost</t>
  </si>
  <si>
    <t>Imarc</t>
  </si>
  <si>
    <t>Revenue from Formaldehyde</t>
  </si>
  <si>
    <t>It's actually formalin we are looking at</t>
  </si>
  <si>
    <t>Cu Catalyst Cost</t>
  </si>
  <si>
    <t>CuCata</t>
  </si>
  <si>
    <t>CO2 Input</t>
  </si>
  <si>
    <t>Catalyst Input</t>
  </si>
  <si>
    <t>Total CO2 Cost</t>
  </si>
  <si>
    <t>Total Catalyst Cost</t>
  </si>
  <si>
    <t>Raw Material Cost for Methanol Production Node</t>
  </si>
  <si>
    <t>Fe Catalyst Cost</t>
  </si>
  <si>
    <t>FeCata</t>
  </si>
  <si>
    <t>Air Input</t>
  </si>
  <si>
    <t>So 36.5504670291087 kg of catalyst is required for every 250 hours of operation. But appenrently, the catalyst is able to be regenerated completely at 500C. So assuming that we only need 2 set of 36.55 kg of catalyst per 6 months. (ref =https://pubs.rsc.org/en/content/articlelanding/2020/cp/d0cp01506g#:~:text=Complete%20regeneration%20could%20only%20be,higher%20than%20industrial%20reaction%20temperatures.)</t>
  </si>
  <si>
    <t>Total Air Pumping Cost</t>
  </si>
  <si>
    <t>Raw Material Cost for Formaldehyde Production Node</t>
  </si>
  <si>
    <t xml:space="preserve">Methanol Production Node </t>
  </si>
  <si>
    <t>Cost of wastewater treatment</t>
  </si>
  <si>
    <t>WstH2O</t>
  </si>
  <si>
    <t>Amount of wastewater</t>
  </si>
  <si>
    <t>Coming out of the methanol separation</t>
  </si>
  <si>
    <t>Wastewater Treatment Cost for Methanol Production Node</t>
  </si>
  <si>
    <t>Extra info</t>
  </si>
  <si>
    <t xml:space="preserve">Equipment cost of ECR unit </t>
  </si>
  <si>
    <t>Total equipment costs</t>
  </si>
  <si>
    <t>CAPEX contribution of ECR (fraction)</t>
  </si>
  <si>
    <t>CAPEX (-ECR)</t>
  </si>
  <si>
    <t>TRUE ECR COST</t>
  </si>
  <si>
    <t>Electrocatalytic Reactor Cost</t>
  </si>
  <si>
    <t>INCLUDES CAPEX FROM MEA</t>
  </si>
  <si>
    <t>INCLUDES OPEX FROM MEA</t>
  </si>
  <si>
    <t>INCLUDES CAPEX FROM DAC</t>
  </si>
  <si>
    <t>INCLUDES OPEX FROM DAC</t>
  </si>
  <si>
    <t>MEA is most optimal so it's included</t>
  </si>
  <si>
    <t>e-methanol price = 1451USD/tonne</t>
  </si>
  <si>
    <t>Formaldehyde = 0.37 * 1.451 / 0.64</t>
  </si>
  <si>
    <r>
      <t xml:space="preserve">CAPEX - </t>
    </r>
    <r>
      <rPr>
        <b/>
        <u/>
        <sz val="11"/>
        <color theme="0"/>
        <rFont val="Aptos Narrow"/>
        <family val="2"/>
        <scheme val="minor"/>
      </rPr>
      <t>Methanol Production Node</t>
    </r>
  </si>
  <si>
    <t>TOTAL CAPEX - Methanol Production Node</t>
  </si>
  <si>
    <r>
      <t xml:space="preserve">OPEX - </t>
    </r>
    <r>
      <rPr>
        <b/>
        <u/>
        <sz val="11"/>
        <color theme="0"/>
        <rFont val="Aptos Narrow"/>
        <family val="2"/>
        <scheme val="minor"/>
      </rPr>
      <t>Methanol Production Node</t>
    </r>
  </si>
  <si>
    <t>TOTAL OPEX - Methanol Production Node</t>
  </si>
  <si>
    <r>
      <t xml:space="preserve">Revenue Generation - </t>
    </r>
    <r>
      <rPr>
        <b/>
        <u/>
        <sz val="11"/>
        <color theme="0"/>
        <rFont val="Aptos Narrow"/>
        <family val="2"/>
        <scheme val="minor"/>
      </rPr>
      <t>Methanol Production Node</t>
    </r>
  </si>
  <si>
    <t>Revenue from Methanol</t>
  </si>
  <si>
    <t>Operating Labor Cost for Methanol Production Node</t>
  </si>
  <si>
    <t>Total Costs - Methanol + Formaldehyde</t>
  </si>
  <si>
    <t xml:space="preserve">CAPEX TOTAL </t>
  </si>
  <si>
    <t xml:space="preserve">OPEX TOTAL </t>
  </si>
  <si>
    <t>Revenue TOTAL</t>
  </si>
  <si>
    <t>REV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</si>
</sst>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15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i/>
      <sz val="11"/>
      <color rgb="FF000000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b/>
      <i/>
      <sz val="11"/>
      <color rgb="FF000000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b/>
      <u/>
      <sz val="11"/>
      <color theme="0"/>
      <name val="Aptos Narrow"/>
      <family val="2"/>
      <scheme val="minor"/>
    </font>
    <font>
      <sz val="11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color rgb="FF00000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DAF2D0"/>
        <bgColor rgb="FF000000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39997558519241921"/>
        <bgColor rgb="FF000000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C6EFCE"/>
      </patternFill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5" fillId="0" borderId="0" applyNumberFormat="0" applyFill="0" applyBorder="0" applyAlignment="0" applyProtection="0"/>
    <xf numFmtId="0" fontId="12" fillId="21" borderId="0" applyNumberFormat="0" applyBorder="0" applyAlignment="0" applyProtection="0"/>
    <xf numFmtId="164" fontId="13" fillId="0" borderId="0" applyFont="0" applyFill="0" applyBorder="0" applyAlignment="0" applyProtection="0"/>
  </cellStyleXfs>
  <cellXfs count="233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2" xfId="0" applyBorder="1"/>
    <xf numFmtId="0" fontId="0" fillId="0" borderId="3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" fontId="0" fillId="0" borderId="8" xfId="0" applyNumberFormat="1" applyBorder="1"/>
    <xf numFmtId="0" fontId="0" fillId="0" borderId="9" xfId="0" applyBorder="1"/>
    <xf numFmtId="0" fontId="2" fillId="0" borderId="10" xfId="0" applyFont="1" applyBorder="1"/>
    <xf numFmtId="0" fontId="0" fillId="0" borderId="11" xfId="0" applyBorder="1"/>
    <xf numFmtId="0" fontId="0" fillId="3" borderId="12" xfId="0" applyFill="1" applyBorder="1"/>
    <xf numFmtId="0" fontId="0" fillId="4" borderId="12" xfId="0" applyFill="1" applyBorder="1"/>
    <xf numFmtId="0" fontId="0" fillId="0" borderId="12" xfId="0" applyBorder="1"/>
    <xf numFmtId="0" fontId="0" fillId="0" borderId="13" xfId="0" applyBorder="1"/>
    <xf numFmtId="0" fontId="0" fillId="0" borderId="10" xfId="0" applyBorder="1"/>
    <xf numFmtId="1" fontId="0" fillId="0" borderId="12" xfId="0" applyNumberFormat="1" applyBorder="1"/>
    <xf numFmtId="1" fontId="0" fillId="5" borderId="12" xfId="0" applyNumberFormat="1" applyFill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3" fillId="0" borderId="20" xfId="0" applyFont="1" applyBorder="1"/>
    <xf numFmtId="0" fontId="3" fillId="0" borderId="21" xfId="0" applyFont="1" applyBorder="1"/>
    <xf numFmtId="0" fontId="3" fillId="0" borderId="22" xfId="0" applyFont="1" applyBorder="1"/>
    <xf numFmtId="0" fontId="3" fillId="0" borderId="23" xfId="0" applyFont="1" applyBorder="1"/>
    <xf numFmtId="0" fontId="3" fillId="0" borderId="24" xfId="0" applyFont="1" applyBorder="1"/>
    <xf numFmtId="0" fontId="3" fillId="0" borderId="7" xfId="0" applyFont="1" applyBorder="1"/>
    <xf numFmtId="0" fontId="5" fillId="0" borderId="8" xfId="1" applyBorder="1"/>
    <xf numFmtId="0" fontId="3" fillId="6" borderId="8" xfId="0" applyFont="1" applyFill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3" fillId="6" borderId="12" xfId="0" applyFont="1" applyFill="1" applyBorder="1"/>
    <xf numFmtId="0" fontId="3" fillId="0" borderId="12" xfId="0" applyFont="1" applyBorder="1"/>
    <xf numFmtId="0" fontId="3" fillId="0" borderId="13" xfId="0" applyFont="1" applyBorder="1"/>
    <xf numFmtId="0" fontId="3" fillId="7" borderId="12" xfId="0" applyFont="1" applyFill="1" applyBorder="1"/>
    <xf numFmtId="0" fontId="0" fillId="0" borderId="25" xfId="0" applyBorder="1"/>
    <xf numFmtId="0" fontId="3" fillId="0" borderId="25" xfId="0" applyFont="1" applyBorder="1"/>
    <xf numFmtId="0" fontId="3" fillId="0" borderId="26" xfId="0" applyFont="1" applyBorder="1"/>
    <xf numFmtId="0" fontId="3" fillId="0" borderId="27" xfId="0" applyFont="1" applyBorder="1"/>
    <xf numFmtId="0" fontId="0" fillId="0" borderId="27" xfId="0" applyBorder="1"/>
    <xf numFmtId="0" fontId="3" fillId="0" borderId="28" xfId="0" applyFont="1" applyBorder="1"/>
    <xf numFmtId="0" fontId="0" fillId="0" borderId="31" xfId="0" applyBorder="1"/>
    <xf numFmtId="0" fontId="5" fillId="0" borderId="12" xfId="1" applyBorder="1"/>
    <xf numFmtId="0" fontId="3" fillId="0" borderId="35" xfId="0" applyFont="1" applyBorder="1"/>
    <xf numFmtId="0" fontId="5" fillId="0" borderId="35" xfId="1" applyBorder="1"/>
    <xf numFmtId="0" fontId="3" fillId="6" borderId="35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14" xfId="0" applyFont="1" applyBorder="1"/>
    <xf numFmtId="0" fontId="0" fillId="0" borderId="26" xfId="0" applyBorder="1"/>
    <xf numFmtId="1" fontId="0" fillId="5" borderId="27" xfId="0" applyNumberFormat="1" applyFill="1" applyBorder="1"/>
    <xf numFmtId="0" fontId="0" fillId="0" borderId="28" xfId="0" applyBorder="1"/>
    <xf numFmtId="0" fontId="0" fillId="0" borderId="29" xfId="0" applyBorder="1"/>
    <xf numFmtId="0" fontId="3" fillId="0" borderId="4" xfId="0" applyFont="1" applyBorder="1"/>
    <xf numFmtId="1" fontId="0" fillId="0" borderId="4" xfId="0" applyNumberFormat="1" applyBorder="1"/>
    <xf numFmtId="0" fontId="3" fillId="0" borderId="16" xfId="0" applyFont="1" applyBorder="1"/>
    <xf numFmtId="0" fontId="3" fillId="0" borderId="17" xfId="0" applyFont="1" applyBorder="1"/>
    <xf numFmtId="0" fontId="3" fillId="0" borderId="15" xfId="0" applyFont="1" applyBorder="1"/>
    <xf numFmtId="0" fontId="3" fillId="7" borderId="27" xfId="0" applyFont="1" applyFill="1" applyBorder="1"/>
    <xf numFmtId="0" fontId="3" fillId="0" borderId="6" xfId="0" applyFont="1" applyBorder="1"/>
    <xf numFmtId="0" fontId="3" fillId="0" borderId="5" xfId="0" applyFont="1" applyBorder="1"/>
    <xf numFmtId="0" fontId="3" fillId="0" borderId="2" xfId="0" applyFont="1" applyBorder="1"/>
    <xf numFmtId="0" fontId="3" fillId="0" borderId="3" xfId="0" applyFont="1" applyBorder="1"/>
    <xf numFmtId="0" fontId="5" fillId="0" borderId="29" xfId="1" applyBorder="1"/>
    <xf numFmtId="0" fontId="5" fillId="0" borderId="12" xfId="1" applyFill="1" applyBorder="1"/>
    <xf numFmtId="0" fontId="0" fillId="4" borderId="8" xfId="0" applyFill="1" applyBorder="1"/>
    <xf numFmtId="0" fontId="0" fillId="4" borderId="16" xfId="0" applyFill="1" applyBorder="1"/>
    <xf numFmtId="0" fontId="0" fillId="12" borderId="29" xfId="0" applyFill="1" applyBorder="1"/>
    <xf numFmtId="1" fontId="0" fillId="12" borderId="12" xfId="0" applyNumberFormat="1" applyFill="1" applyBorder="1"/>
    <xf numFmtId="0" fontId="0" fillId="3" borderId="8" xfId="0" applyFill="1" applyBorder="1"/>
    <xf numFmtId="0" fontId="0" fillId="2" borderId="12" xfId="0" applyFill="1" applyBorder="1"/>
    <xf numFmtId="0" fontId="0" fillId="13" borderId="12" xfId="0" applyFill="1" applyBorder="1"/>
    <xf numFmtId="0" fontId="0" fillId="11" borderId="12" xfId="0" applyFill="1" applyBorder="1"/>
    <xf numFmtId="0" fontId="5" fillId="0" borderId="27" xfId="1" applyBorder="1"/>
    <xf numFmtId="0" fontId="3" fillId="3" borderId="12" xfId="0" applyFont="1" applyFill="1" applyBorder="1"/>
    <xf numFmtId="0" fontId="3" fillId="3" borderId="27" xfId="0" applyFont="1" applyFill="1" applyBorder="1"/>
    <xf numFmtId="0" fontId="0" fillId="5" borderId="12" xfId="0" applyFill="1" applyBorder="1"/>
    <xf numFmtId="0" fontId="3" fillId="0" borderId="42" xfId="0" applyFont="1" applyBorder="1"/>
    <xf numFmtId="1" fontId="0" fillId="0" borderId="0" xfId="0" applyNumberFormat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35" xfId="0" applyBorder="1"/>
    <xf numFmtId="0" fontId="0" fillId="0" borderId="36" xfId="0" applyBorder="1"/>
    <xf numFmtId="1" fontId="0" fillId="0" borderId="15" xfId="0" applyNumberFormat="1" applyBorder="1"/>
    <xf numFmtId="1" fontId="0" fillId="0" borderId="11" xfId="0" applyNumberFormat="1" applyBorder="1"/>
    <xf numFmtId="1" fontId="0" fillId="0" borderId="35" xfId="0" applyNumberFormat="1" applyBorder="1"/>
    <xf numFmtId="0" fontId="5" fillId="0" borderId="17" xfId="1" applyBorder="1"/>
    <xf numFmtId="0" fontId="0" fillId="0" borderId="37" xfId="0" applyBorder="1"/>
    <xf numFmtId="0" fontId="0" fillId="0" borderId="24" xfId="0" applyBorder="1"/>
    <xf numFmtId="0" fontId="0" fillId="4" borderId="27" xfId="0" applyFill="1" applyBorder="1"/>
    <xf numFmtId="0" fontId="3" fillId="0" borderId="0" xfId="0" applyFont="1"/>
    <xf numFmtId="0" fontId="5" fillId="0" borderId="35" xfId="1" applyFill="1" applyBorder="1"/>
    <xf numFmtId="0" fontId="0" fillId="5" borderId="0" xfId="0" applyFill="1"/>
    <xf numFmtId="1" fontId="0" fillId="4" borderId="12" xfId="0" applyNumberFormat="1" applyFill="1" applyBorder="1"/>
    <xf numFmtId="0" fontId="0" fillId="5" borderId="35" xfId="0" applyFill="1" applyBorder="1"/>
    <xf numFmtId="0" fontId="0" fillId="3" borderId="27" xfId="0" applyFill="1" applyBorder="1"/>
    <xf numFmtId="1" fontId="0" fillId="17" borderId="12" xfId="0" applyNumberFormat="1" applyFill="1" applyBorder="1"/>
    <xf numFmtId="0" fontId="0" fillId="17" borderId="12" xfId="0" applyFill="1" applyBorder="1"/>
    <xf numFmtId="0" fontId="0" fillId="18" borderId="0" xfId="0" applyFill="1"/>
    <xf numFmtId="0" fontId="0" fillId="12" borderId="12" xfId="0" applyFill="1" applyBorder="1"/>
    <xf numFmtId="0" fontId="1" fillId="19" borderId="18" xfId="0" applyFont="1" applyFill="1" applyBorder="1" applyAlignment="1">
      <alignment horizontal="center"/>
    </xf>
    <xf numFmtId="0" fontId="1" fillId="19" borderId="19" xfId="0" applyFont="1" applyFill="1" applyBorder="1" applyAlignment="1">
      <alignment horizontal="center"/>
    </xf>
    <xf numFmtId="0" fontId="1" fillId="19" borderId="29" xfId="0" applyFont="1" applyFill="1" applyBorder="1" applyAlignment="1">
      <alignment horizontal="center"/>
    </xf>
    <xf numFmtId="0" fontId="5" fillId="0" borderId="0" xfId="1" applyFill="1" applyBorder="1"/>
    <xf numFmtId="0" fontId="3" fillId="14" borderId="18" xfId="0" applyFont="1" applyFill="1" applyBorder="1" applyAlignment="1">
      <alignment horizontal="center"/>
    </xf>
    <xf numFmtId="0" fontId="3" fillId="14" borderId="19" xfId="0" applyFont="1" applyFill="1" applyBorder="1" applyAlignment="1">
      <alignment horizontal="center"/>
    </xf>
    <xf numFmtId="0" fontId="3" fillId="14" borderId="29" xfId="0" applyFont="1" applyFill="1" applyBorder="1" applyAlignment="1">
      <alignment horizontal="center"/>
    </xf>
    <xf numFmtId="0" fontId="3" fillId="8" borderId="18" xfId="0" applyFont="1" applyFill="1" applyBorder="1" applyAlignment="1">
      <alignment horizontal="center"/>
    </xf>
    <xf numFmtId="0" fontId="3" fillId="8" borderId="19" xfId="0" applyFont="1" applyFill="1" applyBorder="1" applyAlignment="1">
      <alignment horizontal="center"/>
    </xf>
    <xf numFmtId="0" fontId="3" fillId="8" borderId="29" xfId="0" applyFont="1" applyFill="1" applyBorder="1" applyAlignment="1">
      <alignment horizontal="center"/>
    </xf>
    <xf numFmtId="0" fontId="0" fillId="16" borderId="12" xfId="0" applyFill="1" applyBorder="1" applyAlignment="1">
      <alignment horizontal="center"/>
    </xf>
    <xf numFmtId="0" fontId="1" fillId="15" borderId="12" xfId="0" applyFont="1" applyFill="1" applyBorder="1" applyAlignment="1">
      <alignment horizontal="center"/>
    </xf>
    <xf numFmtId="0" fontId="1" fillId="15" borderId="39" xfId="0" applyFont="1" applyFill="1" applyBorder="1" applyAlignment="1">
      <alignment horizontal="center"/>
    </xf>
    <xf numFmtId="0" fontId="1" fillId="15" borderId="40" xfId="0" applyFont="1" applyFill="1" applyBorder="1" applyAlignment="1">
      <alignment horizontal="center"/>
    </xf>
    <xf numFmtId="0" fontId="1" fillId="15" borderId="11" xfId="0" applyFont="1" applyFill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6" fillId="0" borderId="0" xfId="0" applyFont="1"/>
    <xf numFmtId="0" fontId="0" fillId="5" borderId="16" xfId="0" applyFill="1" applyBorder="1"/>
    <xf numFmtId="0" fontId="3" fillId="0" borderId="45" xfId="0" applyFont="1" applyBorder="1"/>
    <xf numFmtId="0" fontId="0" fillId="5" borderId="8" xfId="0" applyFill="1" applyBorder="1"/>
    <xf numFmtId="0" fontId="11" fillId="4" borderId="35" xfId="0" applyFont="1" applyFill="1" applyBorder="1"/>
    <xf numFmtId="0" fontId="12" fillId="21" borderId="13" xfId="2" applyBorder="1" applyAlignment="1">
      <alignment wrapText="1"/>
    </xf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0" fillId="20" borderId="18" xfId="0" applyFill="1" applyBorder="1" applyAlignment="1">
      <alignment horizontal="center"/>
    </xf>
    <xf numFmtId="0" fontId="0" fillId="20" borderId="19" xfId="0" applyFill="1" applyBorder="1" applyAlignment="1">
      <alignment horizontal="center"/>
    </xf>
    <xf numFmtId="0" fontId="0" fillId="20" borderId="29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5" fillId="0" borderId="8" xfId="1" applyFill="1" applyBorder="1"/>
    <xf numFmtId="0" fontId="5" fillId="5" borderId="12" xfId="1" applyFill="1" applyBorder="1"/>
    <xf numFmtId="0" fontId="14" fillId="0" borderId="0" xfId="0" applyFont="1"/>
    <xf numFmtId="164" fontId="0" fillId="17" borderId="12" xfId="3" applyFont="1" applyFill="1" applyBorder="1"/>
    <xf numFmtId="164" fontId="0" fillId="0" borderId="0" xfId="3" applyFont="1"/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10" borderId="12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10" borderId="2" xfId="0" applyFill="1" applyBorder="1" applyAlignment="1">
      <alignment horizontal="center"/>
    </xf>
    <xf numFmtId="0" fontId="0" fillId="10" borderId="3" xfId="0" applyFill="1" applyBorder="1" applyAlignment="1">
      <alignment horizontal="center"/>
    </xf>
    <xf numFmtId="0" fontId="1" fillId="9" borderId="18" xfId="0" applyFont="1" applyFill="1" applyBorder="1" applyAlignment="1">
      <alignment horizontal="center"/>
    </xf>
    <xf numFmtId="0" fontId="1" fillId="9" borderId="19" xfId="0" applyFont="1" applyFill="1" applyBorder="1" applyAlignment="1">
      <alignment horizontal="center"/>
    </xf>
    <xf numFmtId="0" fontId="1" fillId="9" borderId="29" xfId="0" applyFont="1" applyFill="1" applyBorder="1" applyAlignment="1">
      <alignment horizontal="center"/>
    </xf>
    <xf numFmtId="0" fontId="1" fillId="9" borderId="39" xfId="0" applyFont="1" applyFill="1" applyBorder="1" applyAlignment="1">
      <alignment horizontal="center"/>
    </xf>
    <xf numFmtId="0" fontId="1" fillId="9" borderId="40" xfId="0" applyFont="1" applyFill="1" applyBorder="1" applyAlignment="1">
      <alignment horizontal="center"/>
    </xf>
    <xf numFmtId="0" fontId="1" fillId="9" borderId="1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3" fillId="14" borderId="18" xfId="0" applyFont="1" applyFill="1" applyBorder="1" applyAlignment="1">
      <alignment horizontal="center"/>
    </xf>
    <xf numFmtId="0" fontId="3" fillId="14" borderId="19" xfId="0" applyFont="1" applyFill="1" applyBorder="1" applyAlignment="1">
      <alignment horizontal="center"/>
    </xf>
    <xf numFmtId="0" fontId="3" fillId="14" borderId="29" xfId="0" applyFont="1" applyFill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9" xfId="0" applyBorder="1" applyAlignment="1">
      <alignment horizontal="center"/>
    </xf>
    <xf numFmtId="0" fontId="3" fillId="8" borderId="18" xfId="0" applyFont="1" applyFill="1" applyBorder="1" applyAlignment="1">
      <alignment horizontal="center"/>
    </xf>
    <xf numFmtId="0" fontId="3" fillId="8" borderId="19" xfId="0" applyFont="1" applyFill="1" applyBorder="1" applyAlignment="1">
      <alignment horizontal="center"/>
    </xf>
    <xf numFmtId="0" fontId="3" fillId="8" borderId="29" xfId="0" applyFont="1" applyFill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9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11" xfId="0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0" fillId="16" borderId="39" xfId="0" applyFill="1" applyBorder="1" applyAlignment="1">
      <alignment horizontal="center"/>
    </xf>
    <xf numFmtId="0" fontId="0" fillId="16" borderId="40" xfId="0" applyFill="1" applyBorder="1" applyAlignment="1">
      <alignment horizontal="center"/>
    </xf>
    <xf numFmtId="0" fontId="0" fillId="16" borderId="11" xfId="0" applyFill="1" applyBorder="1" applyAlignment="1">
      <alignment horizontal="center"/>
    </xf>
    <xf numFmtId="0" fontId="1" fillId="15" borderId="12" xfId="0" applyFont="1" applyFill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16" borderId="12" xfId="0" applyFill="1" applyBorder="1" applyAlignment="1">
      <alignment horizontal="center"/>
    </xf>
    <xf numFmtId="0" fontId="0" fillId="20" borderId="18" xfId="0" applyFill="1" applyBorder="1" applyAlignment="1">
      <alignment horizontal="center"/>
    </xf>
    <xf numFmtId="0" fontId="0" fillId="20" borderId="19" xfId="0" applyFill="1" applyBorder="1" applyAlignment="1">
      <alignment horizontal="center"/>
    </xf>
    <xf numFmtId="0" fontId="0" fillId="20" borderId="29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1" fillId="15" borderId="39" xfId="0" applyFont="1" applyFill="1" applyBorder="1" applyAlignment="1">
      <alignment horizontal="center"/>
    </xf>
    <xf numFmtId="0" fontId="1" fillId="15" borderId="40" xfId="0" applyFont="1" applyFill="1" applyBorder="1" applyAlignment="1">
      <alignment horizontal="center"/>
    </xf>
    <xf numFmtId="0" fontId="1" fillId="15" borderId="11" xfId="0" applyFont="1" applyFill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1" fillId="9" borderId="12" xfId="0" applyFont="1" applyFill="1" applyBorder="1" applyAlignment="1">
      <alignment horizontal="center"/>
    </xf>
    <xf numFmtId="0" fontId="0" fillId="10" borderId="39" xfId="0" applyFill="1" applyBorder="1" applyAlignment="1">
      <alignment horizontal="center"/>
    </xf>
    <xf numFmtId="0" fontId="0" fillId="10" borderId="40" xfId="0" applyFill="1" applyBorder="1" applyAlignment="1">
      <alignment horizontal="center"/>
    </xf>
    <xf numFmtId="0" fontId="0" fillId="10" borderId="11" xfId="0" applyFill="1" applyBorder="1" applyAlignment="1">
      <alignment horizontal="center"/>
    </xf>
  </cellXfs>
  <cellStyles count="4">
    <cellStyle name="Comma" xfId="3" builtinId="3"/>
    <cellStyle name="Good" xfId="2" builtinId="26"/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33CCCC"/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books.google.co.uk/books?hl=en&amp;lr=&amp;id=kWXyhVXztZ8C&amp;oi=fnd&amp;pg=PT30&amp;dq=turton+analysis+synthesis+third+edition&amp;ots=p-mUsCvOsE&amp;sig=rGNGQN9TUzTiia8PPN41lrZ4r3o&amp;redir_esc=y" TargetMode="External"/><Relationship Id="rId7" Type="http://schemas.openxmlformats.org/officeDocument/2006/relationships/hyperlink" Target="https://www.sciencedirect.com/book/9780080966595/chemical-engineering-design" TargetMode="External"/><Relationship Id="rId2" Type="http://schemas.openxmlformats.org/officeDocument/2006/relationships/hyperlink" Target="https://books.google.co.uk/books?hl=en&amp;lr=&amp;id=kWXyhVXztZ8C&amp;oi=fnd&amp;pg=PT30&amp;dq=turton+analysis+synthesis+third+edition&amp;ots=p-mUsCvOsE&amp;sig=rGNGQN9TUzTiia8PPN41lrZ4r3o&amp;redir_esc=y" TargetMode="External"/><Relationship Id="rId1" Type="http://schemas.openxmlformats.org/officeDocument/2006/relationships/hyperlink" Target="https://businessanalytiq.com/procurementanalytics/index/monoethanolamine-price-index/" TargetMode="External"/><Relationship Id="rId6" Type="http://schemas.openxmlformats.org/officeDocument/2006/relationships/hyperlink" Target="https://www.sciencedirect.com/book/9780080966595/chemical-engineering-design" TargetMode="External"/><Relationship Id="rId5" Type="http://schemas.openxmlformats.org/officeDocument/2006/relationships/hyperlink" Target="https://www.sciencedirect.com/book/9780080966595/chemical-engineering-design" TargetMode="External"/><Relationship Id="rId4" Type="http://schemas.openxmlformats.org/officeDocument/2006/relationships/hyperlink" Target="https://books.google.co.uk/books?hl=en&amp;lr=&amp;id=kWXyhVXztZ8C&amp;oi=fnd&amp;pg=PT30&amp;dq=turton+analysis+synthesis+third+edition&amp;ots=p-mUsCvOsE&amp;sig=rGNGQN9TUzTiia8PPN41lrZ4r3o&amp;redir_esc=y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ciencedirect.com/book/9780080966595/chemical-engineering-design" TargetMode="External"/><Relationship Id="rId7" Type="http://schemas.openxmlformats.org/officeDocument/2006/relationships/hyperlink" Target="https://businessanalytiq.com/procurementanalytics/index/calcium-carbonate-price-index/?utm_source=chatgpt.com" TargetMode="External"/><Relationship Id="rId2" Type="http://schemas.openxmlformats.org/officeDocument/2006/relationships/hyperlink" Target="https://www.sciencedirect.com/book/9780080966595/chemical-engineering-design" TargetMode="External"/><Relationship Id="rId1" Type="http://schemas.openxmlformats.org/officeDocument/2006/relationships/hyperlink" Target="https://books.google.co.uk/books?hl=en&amp;lr=&amp;id=kWXyhVXztZ8C&amp;oi=fnd&amp;pg=PT30&amp;dq=turton+analysis+synthesis+third+edition&amp;ots=p-mUsCvOsE&amp;sig=rGNGQN9TUzTiia8PPN41lrZ4r3o&amp;redir_esc=y" TargetMode="External"/><Relationship Id="rId6" Type="http://schemas.openxmlformats.org/officeDocument/2006/relationships/hyperlink" Target="https://businessanalytiq.com/procurementanalytics/index/sodium-hydroxide-price-index/" TargetMode="External"/><Relationship Id="rId5" Type="http://schemas.openxmlformats.org/officeDocument/2006/relationships/hyperlink" Target="https://books.google.co.uk/books?hl=en&amp;lr=&amp;id=kWXyhVXztZ8C&amp;oi=fnd&amp;pg=PT30&amp;dq=turton+analysis+synthesis+third+edition&amp;ots=p-mUsCvOsE&amp;sig=rGNGQN9TUzTiia8PPN41lrZ4r3o&amp;redir_esc=y" TargetMode="External"/><Relationship Id="rId4" Type="http://schemas.openxmlformats.org/officeDocument/2006/relationships/hyperlink" Target="https://www.sciencedirect.com/book/9780080966595/chemical-engineering-design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shersci.co.uk/shop/products/copper-based-methanol-synthesis-catalyst-thermo-scientific/15452437" TargetMode="External"/><Relationship Id="rId13" Type="http://schemas.openxmlformats.org/officeDocument/2006/relationships/hyperlink" Target="https://www.imarcgroup.com/carbon-dioxide-pricing-report" TargetMode="External"/><Relationship Id="rId3" Type="http://schemas.openxmlformats.org/officeDocument/2006/relationships/hyperlink" Target="https://books.google.co.uk/books?hl=en&amp;lr=&amp;id=kWXyhVXztZ8C&amp;oi=fnd&amp;pg=PT30&amp;dq=turton+analysis+synthesis+third+edition&amp;ots=p-mUsCvOsE&amp;sig=rGNGQN9TUzTiia8PPN41lrZ4r3o&amp;redir_esc=y" TargetMode="External"/><Relationship Id="rId7" Type="http://schemas.openxmlformats.org/officeDocument/2006/relationships/hyperlink" Target="https://www.sciencedirect.com/book/9780080966595/chemical-engineering-design" TargetMode="External"/><Relationship Id="rId12" Type="http://schemas.openxmlformats.org/officeDocument/2006/relationships/hyperlink" Target="https://www.methanex.com/about-methanol/pricing/" TargetMode="External"/><Relationship Id="rId2" Type="http://schemas.openxmlformats.org/officeDocument/2006/relationships/hyperlink" Target="https://books.google.co.uk/books?hl=en&amp;lr=&amp;id=kWXyhVXztZ8C&amp;oi=fnd&amp;pg=PT30&amp;dq=turton+analysis+synthesis+third+edition&amp;ots=p-mUsCvOsE&amp;sig=rGNGQN9TUzTiia8PPN41lrZ4r3o&amp;redir_esc=y" TargetMode="External"/><Relationship Id="rId1" Type="http://schemas.openxmlformats.org/officeDocument/2006/relationships/hyperlink" Target="https://books.google.co.uk/books?hl=en&amp;lr=&amp;id=kWXyhVXztZ8C&amp;oi=fnd&amp;pg=PT30&amp;dq=turton+analysis+synthesis+third+edition&amp;ots=p-mUsCvOsE&amp;sig=rGNGQN9TUzTiia8PPN41lrZ4r3o&amp;redir_esc=y" TargetMode="External"/><Relationship Id="rId6" Type="http://schemas.openxmlformats.org/officeDocument/2006/relationships/hyperlink" Target="https://www.sciencedirect.com/book/9780080966595/chemical-engineering-design" TargetMode="External"/><Relationship Id="rId11" Type="http://schemas.openxmlformats.org/officeDocument/2006/relationships/hyperlink" Target="https://www.methanex.com/about-methanol/pricing/" TargetMode="External"/><Relationship Id="rId5" Type="http://schemas.openxmlformats.org/officeDocument/2006/relationships/hyperlink" Target="https://www.sciencedirect.com/book/9780080966595/chemical-engineering-design" TargetMode="External"/><Relationship Id="rId10" Type="http://schemas.openxmlformats.org/officeDocument/2006/relationships/hyperlink" Target="https://businessanalytiq.com/procurementanalytics/index/formaldehyde-price-index/" TargetMode="External"/><Relationship Id="rId4" Type="http://schemas.openxmlformats.org/officeDocument/2006/relationships/hyperlink" Target="https://www.swde.be/en/water-prices-swde" TargetMode="External"/><Relationship Id="rId9" Type="http://schemas.openxmlformats.org/officeDocument/2006/relationships/hyperlink" Target="https://wxhuanjiang.en.made-in-china.com/product/cFwTDWhoQBYO/China-Best-Price-Iron-Drum-Packaging-Molybdenum-Iron-Reliable-and-Good-Molybdenum-55-60-Ferro-Molybdenum-Catalyst.html?pv_id=1ihqgpfke422&amp;faw_id=1ihqgpng547f" TargetMode="External"/><Relationship Id="rId14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shersci.co.uk/shop/products/copper-based-methanol-synthesis-catalyst-thermo-scientific/15452437" TargetMode="External"/><Relationship Id="rId13" Type="http://schemas.openxmlformats.org/officeDocument/2006/relationships/printerSettings" Target="../printerSettings/printerSettings2.bin"/><Relationship Id="rId3" Type="http://schemas.openxmlformats.org/officeDocument/2006/relationships/hyperlink" Target="https://books.google.co.uk/books?hl=en&amp;lr=&amp;id=kWXyhVXztZ8C&amp;oi=fnd&amp;pg=PT30&amp;dq=turton+analysis+synthesis+third+edition&amp;ots=p-mUsCvOsE&amp;sig=rGNGQN9TUzTiia8PPN41lrZ4r3o&amp;redir_esc=y" TargetMode="External"/><Relationship Id="rId7" Type="http://schemas.openxmlformats.org/officeDocument/2006/relationships/hyperlink" Target="https://www.sciencedirect.com/book/9780080966595/chemical-engineering-design" TargetMode="External"/><Relationship Id="rId12" Type="http://schemas.openxmlformats.org/officeDocument/2006/relationships/hyperlink" Target="https://www.methanex.com/about-methanol/pricing/" TargetMode="External"/><Relationship Id="rId2" Type="http://schemas.openxmlformats.org/officeDocument/2006/relationships/hyperlink" Target="https://books.google.co.uk/books?hl=en&amp;lr=&amp;id=kWXyhVXztZ8C&amp;oi=fnd&amp;pg=PT30&amp;dq=turton+analysis+synthesis+third+edition&amp;ots=p-mUsCvOsE&amp;sig=rGNGQN9TUzTiia8PPN41lrZ4r3o&amp;redir_esc=y" TargetMode="External"/><Relationship Id="rId1" Type="http://schemas.openxmlformats.org/officeDocument/2006/relationships/hyperlink" Target="https://books.google.co.uk/books?hl=en&amp;lr=&amp;id=kWXyhVXztZ8C&amp;oi=fnd&amp;pg=PT30&amp;dq=turton+analysis+synthesis+third+edition&amp;ots=p-mUsCvOsE&amp;sig=rGNGQN9TUzTiia8PPN41lrZ4r3o&amp;redir_esc=y" TargetMode="External"/><Relationship Id="rId6" Type="http://schemas.openxmlformats.org/officeDocument/2006/relationships/hyperlink" Target="https://www.sciencedirect.com/book/9780080966595/chemical-engineering-design" TargetMode="External"/><Relationship Id="rId11" Type="http://schemas.openxmlformats.org/officeDocument/2006/relationships/hyperlink" Target="https://www.methanex.com/about-methanol/pricing/" TargetMode="External"/><Relationship Id="rId5" Type="http://schemas.openxmlformats.org/officeDocument/2006/relationships/hyperlink" Target="https://www.sciencedirect.com/book/9780080966595/chemical-engineering-design" TargetMode="External"/><Relationship Id="rId10" Type="http://schemas.openxmlformats.org/officeDocument/2006/relationships/hyperlink" Target="https://businessanalytiq.com/procurementanalytics/index/formaldehyde-price-index/" TargetMode="External"/><Relationship Id="rId4" Type="http://schemas.openxmlformats.org/officeDocument/2006/relationships/hyperlink" Target="https://www.swde.be/en/water-prices-swde" TargetMode="External"/><Relationship Id="rId9" Type="http://schemas.openxmlformats.org/officeDocument/2006/relationships/hyperlink" Target="https://wxhuanjiang.en.made-in-china.com/product/cFwTDWhoQBYO/China-Best-Price-Iron-Drum-Packaging-Molybdenum-Iron-Reliable-and-Good-Molybdenum-55-60-Ferro-Molybdenum-Catalyst.html?pv_id=1ihqgpfke422&amp;faw_id=1ihqgpng547f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shersci.co.uk/shop/products/copper-based-methanol-synthesis-catalyst-thermo-scientific/15452437" TargetMode="External"/><Relationship Id="rId13" Type="http://schemas.openxmlformats.org/officeDocument/2006/relationships/printerSettings" Target="../printerSettings/printerSettings3.bin"/><Relationship Id="rId3" Type="http://schemas.openxmlformats.org/officeDocument/2006/relationships/hyperlink" Target="https://books.google.co.uk/books?hl=en&amp;lr=&amp;id=kWXyhVXztZ8C&amp;oi=fnd&amp;pg=PT30&amp;dq=turton+analysis+synthesis+third+edition&amp;ots=p-mUsCvOsE&amp;sig=rGNGQN9TUzTiia8PPN41lrZ4r3o&amp;redir_esc=y" TargetMode="External"/><Relationship Id="rId7" Type="http://schemas.openxmlformats.org/officeDocument/2006/relationships/hyperlink" Target="https://www.sciencedirect.com/book/9780080966595/chemical-engineering-design" TargetMode="External"/><Relationship Id="rId12" Type="http://schemas.openxmlformats.org/officeDocument/2006/relationships/hyperlink" Target="https://www.methanex.com/about-methanol/pricing/" TargetMode="External"/><Relationship Id="rId2" Type="http://schemas.openxmlformats.org/officeDocument/2006/relationships/hyperlink" Target="https://books.google.co.uk/books?hl=en&amp;lr=&amp;id=kWXyhVXztZ8C&amp;oi=fnd&amp;pg=PT30&amp;dq=turton+analysis+synthesis+third+edition&amp;ots=p-mUsCvOsE&amp;sig=rGNGQN9TUzTiia8PPN41lrZ4r3o&amp;redir_esc=y" TargetMode="External"/><Relationship Id="rId1" Type="http://schemas.openxmlformats.org/officeDocument/2006/relationships/hyperlink" Target="https://books.google.co.uk/books?hl=en&amp;lr=&amp;id=kWXyhVXztZ8C&amp;oi=fnd&amp;pg=PT30&amp;dq=turton+analysis+synthesis+third+edition&amp;ots=p-mUsCvOsE&amp;sig=rGNGQN9TUzTiia8PPN41lrZ4r3o&amp;redir_esc=y" TargetMode="External"/><Relationship Id="rId6" Type="http://schemas.openxmlformats.org/officeDocument/2006/relationships/hyperlink" Target="https://www.sciencedirect.com/book/9780080966595/chemical-engineering-design" TargetMode="External"/><Relationship Id="rId11" Type="http://schemas.openxmlformats.org/officeDocument/2006/relationships/hyperlink" Target="https://www.methanex.com/about-methanol/pricing/" TargetMode="External"/><Relationship Id="rId5" Type="http://schemas.openxmlformats.org/officeDocument/2006/relationships/hyperlink" Target="https://www.sciencedirect.com/book/9780080966595/chemical-engineering-design" TargetMode="External"/><Relationship Id="rId10" Type="http://schemas.openxmlformats.org/officeDocument/2006/relationships/hyperlink" Target="https://businessanalytiq.com/procurementanalytics/index/formaldehyde-price-index/" TargetMode="External"/><Relationship Id="rId4" Type="http://schemas.openxmlformats.org/officeDocument/2006/relationships/hyperlink" Target="https://www.swde.be/en/water-prices-swde" TargetMode="External"/><Relationship Id="rId9" Type="http://schemas.openxmlformats.org/officeDocument/2006/relationships/hyperlink" Target="https://wxhuanjiang.en.made-in-china.com/product/cFwTDWhoQBYO/China-Best-Price-Iron-Drum-Packaging-Molybdenum-Iron-Reliable-and-Good-Molybdenum-55-60-Ferro-Molybdenum-Catalyst.html?pv_id=1ihqgpfke422&amp;faw_id=1ihqgpng547f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shersci.co.uk/shop/products/copper-based-methanol-synthesis-catalyst-thermo-scientific/15452437" TargetMode="External"/><Relationship Id="rId13" Type="http://schemas.openxmlformats.org/officeDocument/2006/relationships/printerSettings" Target="../printerSettings/printerSettings4.bin"/><Relationship Id="rId3" Type="http://schemas.openxmlformats.org/officeDocument/2006/relationships/hyperlink" Target="https://books.google.co.uk/books?hl=en&amp;lr=&amp;id=kWXyhVXztZ8C&amp;oi=fnd&amp;pg=PT30&amp;dq=turton+analysis+synthesis+third+edition&amp;ots=p-mUsCvOsE&amp;sig=rGNGQN9TUzTiia8PPN41lrZ4r3o&amp;redir_esc=y" TargetMode="External"/><Relationship Id="rId7" Type="http://schemas.openxmlformats.org/officeDocument/2006/relationships/hyperlink" Target="https://www.sciencedirect.com/book/9780080966595/chemical-engineering-design" TargetMode="External"/><Relationship Id="rId12" Type="http://schemas.openxmlformats.org/officeDocument/2006/relationships/hyperlink" Target="https://businessanalytiq.com/procurementanalytics/index/methanol-price-index/" TargetMode="External"/><Relationship Id="rId2" Type="http://schemas.openxmlformats.org/officeDocument/2006/relationships/hyperlink" Target="https://books.google.co.uk/books?hl=en&amp;lr=&amp;id=kWXyhVXztZ8C&amp;oi=fnd&amp;pg=PT30&amp;dq=turton+analysis+synthesis+third+edition&amp;ots=p-mUsCvOsE&amp;sig=rGNGQN9TUzTiia8PPN41lrZ4r3o&amp;redir_esc=y" TargetMode="External"/><Relationship Id="rId1" Type="http://schemas.openxmlformats.org/officeDocument/2006/relationships/hyperlink" Target="https://books.google.co.uk/books?hl=en&amp;lr=&amp;id=kWXyhVXztZ8C&amp;oi=fnd&amp;pg=PT30&amp;dq=turton+analysis+synthesis+third+edition&amp;ots=p-mUsCvOsE&amp;sig=rGNGQN9TUzTiia8PPN41lrZ4r3o&amp;redir_esc=y" TargetMode="External"/><Relationship Id="rId6" Type="http://schemas.openxmlformats.org/officeDocument/2006/relationships/hyperlink" Target="https://www.sciencedirect.com/book/9780080966595/chemical-engineering-design" TargetMode="External"/><Relationship Id="rId11" Type="http://schemas.openxmlformats.org/officeDocument/2006/relationships/hyperlink" Target="https://businessanalytiq.com/procurementanalytics/index/methanol-price-index/" TargetMode="External"/><Relationship Id="rId5" Type="http://schemas.openxmlformats.org/officeDocument/2006/relationships/hyperlink" Target="https://www.sciencedirect.com/book/9780080966595/chemical-engineering-design" TargetMode="External"/><Relationship Id="rId10" Type="http://schemas.openxmlformats.org/officeDocument/2006/relationships/hyperlink" Target="https://businessanalytiq.com/procurementanalytics/index/formaldehyde-price-index/" TargetMode="External"/><Relationship Id="rId4" Type="http://schemas.openxmlformats.org/officeDocument/2006/relationships/hyperlink" Target="https://www.swde.be/en/water-prices-swde" TargetMode="External"/><Relationship Id="rId9" Type="http://schemas.openxmlformats.org/officeDocument/2006/relationships/hyperlink" Target="https://wxhuanjiang.en.made-in-china.com/product/cFwTDWhoQBYO/China-Best-Price-Iron-Drum-Packaging-Molybdenum-Iron-Reliable-and-Good-Molybdenum-55-60-Ferro-Molybdenum-Catalyst.html?pv_id=1ihqgpfke422&amp;faw_id=1ihqgpng547f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shersci.co.uk/shop/products/copper-based-methanol-synthesis-catalyst-thermo-scientific/15452437" TargetMode="External"/><Relationship Id="rId13" Type="http://schemas.openxmlformats.org/officeDocument/2006/relationships/printerSettings" Target="../printerSettings/printerSettings5.bin"/><Relationship Id="rId3" Type="http://schemas.openxmlformats.org/officeDocument/2006/relationships/hyperlink" Target="https://books.google.co.uk/books?hl=en&amp;lr=&amp;id=kWXyhVXztZ8C&amp;oi=fnd&amp;pg=PT30&amp;dq=turton+analysis+synthesis+third+edition&amp;ots=p-mUsCvOsE&amp;sig=rGNGQN9TUzTiia8PPN41lrZ4r3o&amp;redir_esc=y" TargetMode="External"/><Relationship Id="rId7" Type="http://schemas.openxmlformats.org/officeDocument/2006/relationships/hyperlink" Target="https://www.sciencedirect.com/book/9780080966595/chemical-engineering-design" TargetMode="External"/><Relationship Id="rId12" Type="http://schemas.openxmlformats.org/officeDocument/2006/relationships/hyperlink" Target="https://businessanalytiq.com/procurementanalytics/index/methanol-price-index/" TargetMode="External"/><Relationship Id="rId2" Type="http://schemas.openxmlformats.org/officeDocument/2006/relationships/hyperlink" Target="https://books.google.co.uk/books?hl=en&amp;lr=&amp;id=kWXyhVXztZ8C&amp;oi=fnd&amp;pg=PT30&amp;dq=turton+analysis+synthesis+third+edition&amp;ots=p-mUsCvOsE&amp;sig=rGNGQN9TUzTiia8PPN41lrZ4r3o&amp;redir_esc=y" TargetMode="External"/><Relationship Id="rId1" Type="http://schemas.openxmlformats.org/officeDocument/2006/relationships/hyperlink" Target="https://books.google.co.uk/books?hl=en&amp;lr=&amp;id=kWXyhVXztZ8C&amp;oi=fnd&amp;pg=PT30&amp;dq=turton+analysis+synthesis+third+edition&amp;ots=p-mUsCvOsE&amp;sig=rGNGQN9TUzTiia8PPN41lrZ4r3o&amp;redir_esc=y" TargetMode="External"/><Relationship Id="rId6" Type="http://schemas.openxmlformats.org/officeDocument/2006/relationships/hyperlink" Target="https://www.sciencedirect.com/book/9780080966595/chemical-engineering-design" TargetMode="External"/><Relationship Id="rId11" Type="http://schemas.openxmlformats.org/officeDocument/2006/relationships/hyperlink" Target="https://businessanalytiq.com/procurementanalytics/index/methanol-price-index/" TargetMode="External"/><Relationship Id="rId5" Type="http://schemas.openxmlformats.org/officeDocument/2006/relationships/hyperlink" Target="https://www.sciencedirect.com/book/9780080966595/chemical-engineering-design" TargetMode="External"/><Relationship Id="rId10" Type="http://schemas.openxmlformats.org/officeDocument/2006/relationships/hyperlink" Target="https://businessanalytiq.com/procurementanalytics/index/formaldehyde-price-index/" TargetMode="External"/><Relationship Id="rId4" Type="http://schemas.openxmlformats.org/officeDocument/2006/relationships/hyperlink" Target="https://www.swde.be/en/water-prices-swde" TargetMode="External"/><Relationship Id="rId9" Type="http://schemas.openxmlformats.org/officeDocument/2006/relationships/hyperlink" Target="https://wxhuanjiang.en.made-in-china.com/product/cFwTDWhoQBYO/China-Best-Price-Iron-Drum-Packaging-Molybdenum-Iron-Reliable-and-Good-Molybdenum-55-60-Ferro-Molybdenum-Catalyst.html?pv_id=1ihqgpfke422&amp;faw_id=1ihqgpng547f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ciencedirect.com/book/9780080966595/chemical-engineering-design" TargetMode="External"/><Relationship Id="rId13" Type="http://schemas.openxmlformats.org/officeDocument/2006/relationships/hyperlink" Target="https://www.methanex.com/about-methanol/pricing/" TargetMode="External"/><Relationship Id="rId3" Type="http://schemas.openxmlformats.org/officeDocument/2006/relationships/hyperlink" Target="https://www.sciencedirect.com/book/9780080966595/chemical-engineering-design" TargetMode="External"/><Relationship Id="rId7" Type="http://schemas.openxmlformats.org/officeDocument/2006/relationships/hyperlink" Target="https://www.swde.be/en/water-prices-swde" TargetMode="External"/><Relationship Id="rId12" Type="http://schemas.openxmlformats.org/officeDocument/2006/relationships/hyperlink" Target="https://wxhuanjiang.en.made-in-china.com/product/cFwTDWhoQBYO/China-Best-Price-Iron-Drum-Packaging-Molybdenum-Iron-Reliable-and-Good-Molybdenum-55-60-Ferro-Molybdenum-Catalyst.html?pv_id=1ihqgpfke422&amp;faw_id=1ihqgpng547f" TargetMode="External"/><Relationship Id="rId2" Type="http://schemas.openxmlformats.org/officeDocument/2006/relationships/hyperlink" Target="https://books.google.co.uk/books?hl=en&amp;lr=&amp;id=kWXyhVXztZ8C&amp;oi=fnd&amp;pg=PT30&amp;dq=turton+analysis+synthesis+third+edition&amp;ots=p-mUsCvOsE&amp;sig=rGNGQN9TUzTiia8PPN41lrZ4r3o&amp;redir_esc=y" TargetMode="External"/><Relationship Id="rId1" Type="http://schemas.openxmlformats.org/officeDocument/2006/relationships/hyperlink" Target="https://books.google.co.uk/books?hl=en&amp;lr=&amp;id=kWXyhVXztZ8C&amp;oi=fnd&amp;pg=PT30&amp;dq=turton+analysis+synthesis+third+edition&amp;ots=p-mUsCvOsE&amp;sig=rGNGQN9TUzTiia8PPN41lrZ4r3o&amp;redir_esc=y" TargetMode="External"/><Relationship Id="rId6" Type="http://schemas.openxmlformats.org/officeDocument/2006/relationships/hyperlink" Target="https://books.google.co.uk/books?hl=en&amp;lr=&amp;id=kWXyhVXztZ8C&amp;oi=fnd&amp;pg=PT30&amp;dq=turton+analysis+synthesis+third+edition&amp;ots=p-mUsCvOsE&amp;sig=rGNGQN9TUzTiia8PPN41lrZ4r3o&amp;redir_esc=y" TargetMode="External"/><Relationship Id="rId11" Type="http://schemas.openxmlformats.org/officeDocument/2006/relationships/hyperlink" Target="https://www.fishersci.co.uk/shop/products/copper-based-methanol-synthesis-catalyst-thermo-scientific/15452437" TargetMode="External"/><Relationship Id="rId5" Type="http://schemas.openxmlformats.org/officeDocument/2006/relationships/hyperlink" Target="https://www.sciencedirect.com/book/9780080966595/chemical-engineering-design" TargetMode="External"/><Relationship Id="rId15" Type="http://schemas.openxmlformats.org/officeDocument/2006/relationships/hyperlink" Target="https://www.methanex.com/about-methanol/pricing/" TargetMode="External"/><Relationship Id="rId10" Type="http://schemas.openxmlformats.org/officeDocument/2006/relationships/hyperlink" Target="https://www.sciencedirect.com/book/9780080966595/chemical-engineering-design" TargetMode="External"/><Relationship Id="rId4" Type="http://schemas.openxmlformats.org/officeDocument/2006/relationships/hyperlink" Target="https://www.sciencedirect.com/book/9780080966595/chemical-engineering-design" TargetMode="External"/><Relationship Id="rId9" Type="http://schemas.openxmlformats.org/officeDocument/2006/relationships/hyperlink" Target="https://www.sciencedirect.com/book/9780080966595/chemical-engineering-design" TargetMode="External"/><Relationship Id="rId14" Type="http://schemas.openxmlformats.org/officeDocument/2006/relationships/hyperlink" Target="https://businessanalytiq.com/procurementanalytics/index/formaldehyde-price-index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10B7C-C677-4079-A908-88BF2C3D66CE}">
  <dimension ref="A1:N36"/>
  <sheetViews>
    <sheetView workbookViewId="0">
      <selection activeCell="F18" sqref="F18"/>
    </sheetView>
  </sheetViews>
  <sheetFormatPr defaultRowHeight="14.45"/>
  <cols>
    <col min="1" max="1" width="35.42578125" customWidth="1"/>
    <col min="6" max="6" width="26.5703125" customWidth="1"/>
    <col min="9" max="9" width="35.5703125" customWidth="1"/>
    <col min="14" max="14" width="26.5703125" customWidth="1"/>
  </cols>
  <sheetData>
    <row r="1" spans="1:14" ht="15" thickBot="1">
      <c r="A1" s="157" t="s">
        <v>0</v>
      </c>
      <c r="B1" s="158"/>
      <c r="C1" s="158"/>
      <c r="D1" s="158"/>
      <c r="E1" s="158"/>
      <c r="F1" s="159"/>
      <c r="I1" s="150" t="s">
        <v>1</v>
      </c>
      <c r="J1" s="151"/>
      <c r="K1" s="151"/>
      <c r="L1" s="151"/>
      <c r="M1" s="151"/>
      <c r="N1" s="152"/>
    </row>
    <row r="2" spans="1:14" ht="15" thickBot="1">
      <c r="A2" s="1"/>
      <c r="B2" s="2" t="s">
        <v>2</v>
      </c>
      <c r="C2" s="3" t="s">
        <v>3</v>
      </c>
      <c r="D2" s="3" t="s">
        <v>4</v>
      </c>
      <c r="E2" s="3" t="s">
        <v>5</v>
      </c>
      <c r="F2" s="4" t="s">
        <v>6</v>
      </c>
      <c r="I2" s="1"/>
      <c r="J2" s="2" t="s">
        <v>2</v>
      </c>
      <c r="K2" s="3" t="s">
        <v>3</v>
      </c>
      <c r="L2" s="3" t="s">
        <v>4</v>
      </c>
      <c r="M2" s="3" t="s">
        <v>5</v>
      </c>
      <c r="N2" s="4" t="s">
        <v>6</v>
      </c>
    </row>
    <row r="3" spans="1:14">
      <c r="A3" s="5" t="s">
        <v>7</v>
      </c>
      <c r="B3" s="6" t="s">
        <v>8</v>
      </c>
      <c r="C3" s="73" t="s">
        <v>1</v>
      </c>
      <c r="D3" s="7">
        <f>L3</f>
        <v>10428800</v>
      </c>
      <c r="E3" s="7" t="s">
        <v>9</v>
      </c>
      <c r="F3" s="9"/>
      <c r="I3" s="94" t="s">
        <v>10</v>
      </c>
      <c r="J3" s="93" t="s">
        <v>11</v>
      </c>
      <c r="K3" s="87" t="s">
        <v>11</v>
      </c>
      <c r="L3" s="128">
        <v>10428800</v>
      </c>
      <c r="M3" s="87" t="s">
        <v>9</v>
      </c>
      <c r="N3" s="88"/>
    </row>
    <row r="4" spans="1:14" ht="15" thickBot="1">
      <c r="A4" s="39" t="s">
        <v>12</v>
      </c>
      <c r="B4" s="53" t="s">
        <v>13</v>
      </c>
      <c r="C4" s="77" t="s">
        <v>14</v>
      </c>
      <c r="D4" s="43">
        <v>0.1</v>
      </c>
      <c r="E4" s="43" t="s">
        <v>11</v>
      </c>
      <c r="F4" s="55" t="s">
        <v>15</v>
      </c>
      <c r="I4" s="19" t="s">
        <v>16</v>
      </c>
      <c r="J4" s="20" t="s">
        <v>11</v>
      </c>
      <c r="K4" s="21" t="s">
        <v>11</v>
      </c>
      <c r="L4" s="70">
        <f>1719222+3547396</f>
        <v>5266618</v>
      </c>
      <c r="M4" s="21" t="s">
        <v>17</v>
      </c>
      <c r="N4" s="22"/>
    </row>
    <row r="5" spans="1:14" ht="15" thickBot="1">
      <c r="A5" s="154" t="s">
        <v>18</v>
      </c>
      <c r="B5" s="155"/>
      <c r="C5" s="156"/>
      <c r="D5" s="71">
        <f>D3*(1+D4)</f>
        <v>11471680</v>
      </c>
      <c r="E5" s="56" t="s">
        <v>9</v>
      </c>
      <c r="F5" s="56"/>
    </row>
    <row r="6" spans="1:14" ht="15" thickBot="1">
      <c r="I6" s="163" t="s">
        <v>19</v>
      </c>
      <c r="J6" s="164"/>
      <c r="K6" s="164"/>
      <c r="L6" s="164"/>
      <c r="M6" s="164"/>
      <c r="N6" s="165"/>
    </row>
    <row r="7" spans="1:14" ht="15" thickBot="1">
      <c r="A7" s="160" t="s">
        <v>20</v>
      </c>
      <c r="B7" s="161"/>
      <c r="C7" s="161"/>
      <c r="D7" s="161"/>
      <c r="E7" s="161"/>
      <c r="F7" s="162"/>
      <c r="I7" s="1"/>
      <c r="J7" s="2" t="s">
        <v>2</v>
      </c>
      <c r="K7" s="3" t="s">
        <v>21</v>
      </c>
      <c r="L7" s="3" t="s">
        <v>4</v>
      </c>
      <c r="M7" s="3" t="s">
        <v>5</v>
      </c>
      <c r="N7" s="4" t="s">
        <v>6</v>
      </c>
    </row>
    <row r="8" spans="1:14">
      <c r="A8" s="14"/>
      <c r="B8" s="14" t="s">
        <v>2</v>
      </c>
      <c r="C8" s="14" t="s">
        <v>22</v>
      </c>
      <c r="D8" s="14" t="s">
        <v>4</v>
      </c>
      <c r="E8" s="14" t="s">
        <v>5</v>
      </c>
      <c r="F8" s="14" t="s">
        <v>6</v>
      </c>
      <c r="I8" s="5" t="s">
        <v>23</v>
      </c>
      <c r="J8" s="6" t="s">
        <v>24</v>
      </c>
      <c r="K8" s="7" t="s">
        <v>25</v>
      </c>
      <c r="L8" s="8">
        <f>(6.29+31.7*L17^2+0.23*L14)^0.5</f>
        <v>2.8106938645110393</v>
      </c>
      <c r="M8" s="7" t="s">
        <v>11</v>
      </c>
      <c r="N8" s="9"/>
    </row>
    <row r="9" spans="1:14">
      <c r="A9" s="14" t="s">
        <v>26</v>
      </c>
      <c r="B9" s="14" t="s">
        <v>27</v>
      </c>
      <c r="C9" s="74" t="s">
        <v>28</v>
      </c>
      <c r="D9" s="17">
        <f>L19</f>
        <v>669085.67444685288</v>
      </c>
      <c r="E9" s="14" t="s">
        <v>17</v>
      </c>
      <c r="F9" s="14"/>
      <c r="I9" s="10" t="s">
        <v>29</v>
      </c>
      <c r="J9" s="11" t="s">
        <v>11</v>
      </c>
      <c r="K9" s="12" t="s">
        <v>30</v>
      </c>
      <c r="L9" s="13">
        <v>1</v>
      </c>
      <c r="M9" s="14" t="s">
        <v>11</v>
      </c>
      <c r="N9" s="15"/>
    </row>
    <row r="10" spans="1:14">
      <c r="A10" s="14" t="s">
        <v>31</v>
      </c>
      <c r="B10" s="14" t="s">
        <v>32</v>
      </c>
      <c r="C10" s="12" t="s">
        <v>1</v>
      </c>
      <c r="D10" s="14">
        <f>L4</f>
        <v>5266618</v>
      </c>
      <c r="E10" s="14" t="s">
        <v>17</v>
      </c>
      <c r="F10" s="14"/>
      <c r="I10" s="10" t="s">
        <v>33</v>
      </c>
      <c r="J10" s="11" t="s">
        <v>11</v>
      </c>
      <c r="K10" s="12" t="s">
        <v>30</v>
      </c>
      <c r="L10" s="13">
        <v>2</v>
      </c>
      <c r="M10" s="14" t="s">
        <v>11</v>
      </c>
      <c r="N10" s="15"/>
    </row>
    <row r="11" spans="1:14">
      <c r="A11" s="14" t="s">
        <v>34</v>
      </c>
      <c r="B11" s="14" t="s">
        <v>35</v>
      </c>
      <c r="C11" s="75" t="s">
        <v>36</v>
      </c>
      <c r="D11" s="14">
        <f>L30</f>
        <v>40600.826000000008</v>
      </c>
      <c r="E11" s="14" t="s">
        <v>17</v>
      </c>
      <c r="F11" s="14"/>
      <c r="I11" s="10" t="s">
        <v>37</v>
      </c>
      <c r="J11" s="11" t="s">
        <v>11</v>
      </c>
      <c r="K11" s="12" t="s">
        <v>30</v>
      </c>
      <c r="L11" s="13">
        <v>0</v>
      </c>
      <c r="M11" s="14" t="s">
        <v>11</v>
      </c>
      <c r="N11" s="15"/>
    </row>
    <row r="12" spans="1:14">
      <c r="A12" s="14" t="s">
        <v>38</v>
      </c>
      <c r="B12" s="14" t="s">
        <v>39</v>
      </c>
      <c r="C12" s="76" t="s">
        <v>40</v>
      </c>
      <c r="D12" s="14">
        <f>L36</f>
        <v>20237.3</v>
      </c>
      <c r="E12" s="14" t="s">
        <v>17</v>
      </c>
      <c r="F12" s="14"/>
      <c r="I12" s="10" t="s">
        <v>41</v>
      </c>
      <c r="J12" s="11" t="s">
        <v>11</v>
      </c>
      <c r="K12" s="12" t="s">
        <v>30</v>
      </c>
      <c r="L12" s="13">
        <v>3</v>
      </c>
      <c r="M12" s="14" t="s">
        <v>11</v>
      </c>
      <c r="N12" s="15"/>
    </row>
    <row r="13" spans="1:14">
      <c r="A13" s="14" t="s">
        <v>42</v>
      </c>
      <c r="B13" s="14" t="s">
        <v>43</v>
      </c>
      <c r="C13" s="46" t="s">
        <v>14</v>
      </c>
      <c r="D13" s="14">
        <f>0.05*D5</f>
        <v>573584</v>
      </c>
      <c r="E13" s="14" t="s">
        <v>17</v>
      </c>
      <c r="F13" s="14" t="s">
        <v>44</v>
      </c>
      <c r="I13" s="10" t="s">
        <v>45</v>
      </c>
      <c r="J13" s="11" t="s">
        <v>11</v>
      </c>
      <c r="K13" s="12" t="s">
        <v>30</v>
      </c>
      <c r="L13" s="13">
        <v>1</v>
      </c>
      <c r="M13" s="14" t="s">
        <v>11</v>
      </c>
      <c r="N13" s="15"/>
    </row>
    <row r="14" spans="1:14">
      <c r="A14" s="14" t="s">
        <v>46</v>
      </c>
      <c r="B14" s="14" t="s">
        <v>47</v>
      </c>
      <c r="C14" s="46" t="s">
        <v>14</v>
      </c>
      <c r="D14" s="14">
        <f>0.1*D5</f>
        <v>1147168</v>
      </c>
      <c r="E14" s="14" t="s">
        <v>17</v>
      </c>
      <c r="F14" s="14" t="s">
        <v>48</v>
      </c>
      <c r="I14" s="16" t="s">
        <v>49</v>
      </c>
      <c r="J14" s="11" t="s">
        <v>50</v>
      </c>
      <c r="K14" s="14" t="s">
        <v>11</v>
      </c>
      <c r="L14" s="17">
        <f>SUM(L9:L13)</f>
        <v>7</v>
      </c>
      <c r="M14" s="14" t="s">
        <v>11</v>
      </c>
      <c r="N14" s="15"/>
    </row>
    <row r="15" spans="1:14">
      <c r="A15" s="153" t="s">
        <v>51</v>
      </c>
      <c r="B15" s="153"/>
      <c r="C15" s="153"/>
      <c r="D15" s="72">
        <f>SUM(D9:D14)</f>
        <v>7717293.800446853</v>
      </c>
      <c r="E15" s="14" t="s">
        <v>17</v>
      </c>
      <c r="F15" s="14"/>
      <c r="I15" s="16" t="s">
        <v>52</v>
      </c>
      <c r="J15" s="11" t="s">
        <v>11</v>
      </c>
      <c r="K15" s="14" t="s">
        <v>11</v>
      </c>
      <c r="L15" s="18">
        <v>4.5</v>
      </c>
      <c r="M15" s="14" t="s">
        <v>11</v>
      </c>
      <c r="N15" s="15"/>
    </row>
    <row r="16" spans="1:14">
      <c r="I16" s="16" t="s">
        <v>53</v>
      </c>
      <c r="J16" s="11" t="s">
        <v>54</v>
      </c>
      <c r="K16" s="14" t="s">
        <v>11</v>
      </c>
      <c r="L16" s="17">
        <f>L15*L8</f>
        <v>12.648122390299676</v>
      </c>
      <c r="M16" s="14" t="s">
        <v>11</v>
      </c>
      <c r="N16" s="15"/>
    </row>
    <row r="17" spans="9:14">
      <c r="I17" s="16" t="s">
        <v>55</v>
      </c>
      <c r="J17" s="11" t="s">
        <v>56</v>
      </c>
      <c r="K17" s="12" t="s">
        <v>30</v>
      </c>
      <c r="L17" s="13">
        <v>0</v>
      </c>
      <c r="M17" s="14" t="s">
        <v>11</v>
      </c>
      <c r="N17" s="15" t="s">
        <v>57</v>
      </c>
    </row>
    <row r="18" spans="9:14" ht="15" thickBot="1">
      <c r="I18" s="39" t="s">
        <v>58</v>
      </c>
      <c r="J18" s="53" t="s">
        <v>59</v>
      </c>
      <c r="K18" s="43" t="s">
        <v>11</v>
      </c>
      <c r="L18" s="54">
        <v>52900</v>
      </c>
      <c r="M18" s="43" t="s">
        <v>17</v>
      </c>
      <c r="N18" s="55"/>
    </row>
    <row r="19" spans="9:14" ht="15" thickBot="1">
      <c r="I19" s="175" t="s">
        <v>60</v>
      </c>
      <c r="J19" s="176"/>
      <c r="K19" s="177"/>
      <c r="L19" s="58">
        <f>L16*L18</f>
        <v>669085.67444685288</v>
      </c>
      <c r="M19" s="1" t="s">
        <v>17</v>
      </c>
      <c r="N19" s="67" t="s">
        <v>61</v>
      </c>
    </row>
    <row r="20" spans="9:14" ht="15" thickBot="1"/>
    <row r="21" spans="9:14" ht="15" thickBot="1">
      <c r="I21" s="166" t="s">
        <v>62</v>
      </c>
      <c r="J21" s="167"/>
      <c r="K21" s="167"/>
      <c r="L21" s="167"/>
      <c r="M21" s="167"/>
      <c r="N21" s="168"/>
    </row>
    <row r="22" spans="9:14" ht="15" thickBot="1">
      <c r="I22" s="23"/>
      <c r="J22" s="24" t="s">
        <v>2</v>
      </c>
      <c r="K22" s="25" t="s">
        <v>21</v>
      </c>
      <c r="L22" s="25" t="s">
        <v>4</v>
      </c>
      <c r="M22" s="25" t="s">
        <v>5</v>
      </c>
      <c r="N22" s="26" t="s">
        <v>6</v>
      </c>
    </row>
    <row r="23" spans="9:14" ht="15" thickBot="1">
      <c r="I23" s="169" t="s">
        <v>63</v>
      </c>
      <c r="J23" s="170"/>
      <c r="K23" s="170"/>
      <c r="L23" s="170"/>
      <c r="M23" s="170"/>
      <c r="N23" s="171"/>
    </row>
    <row r="24" spans="9:14">
      <c r="I24" s="27" t="s">
        <v>64</v>
      </c>
      <c r="J24" s="51"/>
      <c r="K24" s="48" t="s">
        <v>65</v>
      </c>
      <c r="L24" s="49">
        <v>1.37</v>
      </c>
      <c r="M24" s="47" t="s">
        <v>66</v>
      </c>
      <c r="N24" s="50"/>
    </row>
    <row r="25" spans="9:14">
      <c r="I25" s="33" t="s">
        <v>67</v>
      </c>
      <c r="J25" s="34"/>
      <c r="K25" s="68" t="s">
        <v>68</v>
      </c>
      <c r="L25" s="35">
        <v>1E-3</v>
      </c>
      <c r="M25" s="36" t="s">
        <v>66</v>
      </c>
      <c r="N25" s="37" t="s">
        <v>69</v>
      </c>
    </row>
    <row r="26" spans="9:14">
      <c r="I26" s="33" t="s">
        <v>70</v>
      </c>
      <c r="J26" s="34"/>
      <c r="K26" s="78" t="s">
        <v>1</v>
      </c>
      <c r="L26" s="38">
        <v>29526.2</v>
      </c>
      <c r="M26" s="36" t="s">
        <v>71</v>
      </c>
      <c r="N26" s="37"/>
    </row>
    <row r="27" spans="9:14">
      <c r="I27" s="33" t="s">
        <v>72</v>
      </c>
      <c r="J27" s="34"/>
      <c r="K27" s="78" t="s">
        <v>1</v>
      </c>
      <c r="L27" s="38">
        <v>149932</v>
      </c>
      <c r="M27" s="36" t="s">
        <v>71</v>
      </c>
      <c r="N27" s="37"/>
    </row>
    <row r="28" spans="9:14">
      <c r="I28" s="33" t="s">
        <v>73</v>
      </c>
      <c r="J28" s="34"/>
      <c r="K28" s="36" t="s">
        <v>11</v>
      </c>
      <c r="L28" s="36">
        <f>L24*L26</f>
        <v>40450.894000000008</v>
      </c>
      <c r="M28" s="36" t="s">
        <v>17</v>
      </c>
      <c r="N28" s="37"/>
    </row>
    <row r="29" spans="9:14" ht="15" thickBot="1">
      <c r="I29" s="40" t="s">
        <v>74</v>
      </c>
      <c r="J29" s="41"/>
      <c r="K29" s="42" t="s">
        <v>11</v>
      </c>
      <c r="L29" s="36">
        <f>L25*L27</f>
        <v>149.93200000000002</v>
      </c>
      <c r="M29" s="42" t="s">
        <v>17</v>
      </c>
      <c r="N29" s="44"/>
    </row>
    <row r="30" spans="9:14" ht="15" thickBot="1">
      <c r="I30" s="172" t="s">
        <v>75</v>
      </c>
      <c r="J30" s="173"/>
      <c r="K30" s="174"/>
      <c r="L30" s="1">
        <f>L28+L29</f>
        <v>40600.826000000008</v>
      </c>
      <c r="M30" s="57" t="s">
        <v>17</v>
      </c>
      <c r="N30" s="56"/>
    </row>
    <row r="31" spans="9:14" ht="15" thickBot="1"/>
    <row r="32" spans="9:14" ht="15" thickBot="1">
      <c r="I32" s="178" t="s">
        <v>76</v>
      </c>
      <c r="J32" s="179"/>
      <c r="K32" s="179"/>
      <c r="L32" s="179"/>
      <c r="M32" s="179"/>
      <c r="N32" s="180"/>
    </row>
    <row r="33" spans="9:14" ht="15" thickBot="1">
      <c r="I33" s="57"/>
      <c r="J33" s="64" t="s">
        <v>2</v>
      </c>
      <c r="K33" s="65" t="s">
        <v>21</v>
      </c>
      <c r="L33" s="65" t="s">
        <v>4</v>
      </c>
      <c r="M33" s="65" t="s">
        <v>5</v>
      </c>
      <c r="N33" s="66" t="s">
        <v>6</v>
      </c>
    </row>
    <row r="34" spans="9:14">
      <c r="I34" s="63" t="s">
        <v>77</v>
      </c>
      <c r="J34" s="28" t="s">
        <v>11</v>
      </c>
      <c r="K34" s="29" t="s">
        <v>68</v>
      </c>
      <c r="L34" s="30">
        <v>1</v>
      </c>
      <c r="M34" s="31" t="s">
        <v>66</v>
      </c>
      <c r="N34" s="32" t="s">
        <v>78</v>
      </c>
    </row>
    <row r="35" spans="9:14" ht="15" thickBot="1">
      <c r="I35" s="52" t="s">
        <v>79</v>
      </c>
      <c r="J35" s="41" t="s">
        <v>11</v>
      </c>
      <c r="K35" s="79" t="s">
        <v>1</v>
      </c>
      <c r="L35" s="62">
        <v>20237.3</v>
      </c>
      <c r="M35" s="42" t="s">
        <v>71</v>
      </c>
      <c r="N35" s="44"/>
    </row>
    <row r="36" spans="9:14" ht="15" thickBot="1">
      <c r="I36" s="147" t="s">
        <v>80</v>
      </c>
      <c r="J36" s="148"/>
      <c r="K36" s="149"/>
      <c r="L36" s="57">
        <f>L34*L35</f>
        <v>20237.3</v>
      </c>
      <c r="M36" s="57" t="s">
        <v>17</v>
      </c>
      <c r="N36" s="57"/>
    </row>
  </sheetData>
  <mergeCells count="12">
    <mergeCell ref="I36:K36"/>
    <mergeCell ref="I1:N1"/>
    <mergeCell ref="A15:C15"/>
    <mergeCell ref="A5:C5"/>
    <mergeCell ref="A1:F1"/>
    <mergeCell ref="A7:F7"/>
    <mergeCell ref="I6:N6"/>
    <mergeCell ref="I21:N21"/>
    <mergeCell ref="I23:N23"/>
    <mergeCell ref="I30:K30"/>
    <mergeCell ref="I19:K19"/>
    <mergeCell ref="I32:N32"/>
  </mergeCells>
  <hyperlinks>
    <hyperlink ref="K24" r:id="rId1" display="https://businessanalytiq.com/procurementanalytics/index/monoethanolamine-price-index/" xr:uid="{F44FF331-35AB-445C-A9F8-1A6DB329C9B9}"/>
    <hyperlink ref="N19" r:id="rId2" location="v=onepage&amp;q=turton%20analysis%20synthesis%20third%20edition&amp;f=false" xr:uid="{00330715-3E34-4496-8FA4-09C98E49D961}"/>
    <hyperlink ref="K25" r:id="rId3" location="v=onepage&amp;q=turton%20analysis%20synthesis%20third%20edition&amp;f=false" xr:uid="{2CF56868-05CD-435E-BB53-08FC07311187}"/>
    <hyperlink ref="K34" r:id="rId4" location="v=onepage&amp;q=turton%20analysis%20synthesis%20third%20edition&amp;f=false" xr:uid="{541BBFFB-805D-42AA-8B82-410FF073BC38}"/>
    <hyperlink ref="C4" r:id="rId5" xr:uid="{364291AB-5294-4515-AC75-B7212D811E2C}"/>
    <hyperlink ref="C13" r:id="rId6" xr:uid="{B0BC59EF-EC41-4653-8D8B-E6F1B103952C}"/>
    <hyperlink ref="C14" r:id="rId7" xr:uid="{AF9FE600-B26C-453B-8D80-EC6D9BA138B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F0999-C433-4BE1-9565-49ED54579398}">
  <dimension ref="A1:N43"/>
  <sheetViews>
    <sheetView topLeftCell="A5" workbookViewId="0">
      <selection activeCell="F12" sqref="F12"/>
    </sheetView>
  </sheetViews>
  <sheetFormatPr defaultRowHeight="14.45"/>
  <cols>
    <col min="1" max="1" width="35.42578125" customWidth="1"/>
    <col min="4" max="4" width="11.42578125" customWidth="1"/>
    <col min="6" max="6" width="26.5703125" customWidth="1"/>
    <col min="9" max="9" width="35.5703125" customWidth="1"/>
    <col min="12" max="12" width="11" bestFit="1" customWidth="1"/>
    <col min="14" max="14" width="26.5703125" customWidth="1"/>
  </cols>
  <sheetData>
    <row r="1" spans="1:14" ht="15" thickBot="1">
      <c r="A1" s="157" t="s">
        <v>0</v>
      </c>
      <c r="B1" s="158"/>
      <c r="C1" s="158"/>
      <c r="D1" s="158"/>
      <c r="E1" s="158"/>
      <c r="F1" s="159"/>
      <c r="I1" s="150" t="s">
        <v>1</v>
      </c>
      <c r="J1" s="151"/>
      <c r="K1" s="151"/>
      <c r="L1" s="151"/>
      <c r="M1" s="151"/>
      <c r="N1" s="152"/>
    </row>
    <row r="2" spans="1:14" ht="15" thickBot="1">
      <c r="A2" s="1"/>
      <c r="B2" s="2" t="s">
        <v>2</v>
      </c>
      <c r="C2" s="3" t="s">
        <v>3</v>
      </c>
      <c r="D2" s="3" t="s">
        <v>4</v>
      </c>
      <c r="E2" s="3" t="s">
        <v>5</v>
      </c>
      <c r="F2" s="4" t="s">
        <v>6</v>
      </c>
      <c r="I2" s="1"/>
      <c r="J2" s="2" t="s">
        <v>2</v>
      </c>
      <c r="K2" s="3" t="s">
        <v>3</v>
      </c>
      <c r="L2" s="3" t="s">
        <v>4</v>
      </c>
      <c r="M2" s="3" t="s">
        <v>5</v>
      </c>
      <c r="N2" s="4" t="s">
        <v>6</v>
      </c>
    </row>
    <row r="3" spans="1:14">
      <c r="A3" s="5" t="s">
        <v>7</v>
      </c>
      <c r="B3" s="6" t="s">
        <v>8</v>
      </c>
      <c r="C3" s="73" t="s">
        <v>1</v>
      </c>
      <c r="D3" s="7">
        <f>L3</f>
        <v>9812900</v>
      </c>
      <c r="E3" s="7" t="s">
        <v>9</v>
      </c>
      <c r="F3" s="9"/>
      <c r="I3" s="5" t="s">
        <v>10</v>
      </c>
      <c r="J3" s="6" t="s">
        <v>11</v>
      </c>
      <c r="K3" s="7" t="s">
        <v>11</v>
      </c>
      <c r="L3" s="69">
        <v>9812900</v>
      </c>
      <c r="M3" s="7" t="s">
        <v>9</v>
      </c>
      <c r="N3" s="9"/>
    </row>
    <row r="4" spans="1:14" ht="15" thickBot="1">
      <c r="A4" s="39" t="s">
        <v>12</v>
      </c>
      <c r="B4" s="53" t="s">
        <v>13</v>
      </c>
      <c r="C4" s="77" t="s">
        <v>14</v>
      </c>
      <c r="D4" s="43">
        <v>0.1</v>
      </c>
      <c r="E4" s="43" t="s">
        <v>11</v>
      </c>
      <c r="F4" s="55" t="s">
        <v>15</v>
      </c>
      <c r="I4" s="19" t="s">
        <v>16</v>
      </c>
      <c r="J4" s="20" t="s">
        <v>11</v>
      </c>
      <c r="K4" s="21" t="s">
        <v>11</v>
      </c>
      <c r="L4" s="70">
        <v>390309</v>
      </c>
      <c r="M4" s="21" t="s">
        <v>17</v>
      </c>
      <c r="N4" s="22"/>
    </row>
    <row r="5" spans="1:14" ht="15" thickBot="1">
      <c r="A5" s="154" t="s">
        <v>18</v>
      </c>
      <c r="B5" s="155"/>
      <c r="C5" s="156"/>
      <c r="D5" s="71">
        <f>D3*(1+D4)</f>
        <v>10794190</v>
      </c>
      <c r="E5" s="56" t="s">
        <v>9</v>
      </c>
      <c r="F5" s="56"/>
    </row>
    <row r="6" spans="1:14" ht="15" thickBot="1">
      <c r="I6" s="163" t="s">
        <v>19</v>
      </c>
      <c r="J6" s="164"/>
      <c r="K6" s="164"/>
      <c r="L6" s="164"/>
      <c r="M6" s="164"/>
      <c r="N6" s="165"/>
    </row>
    <row r="7" spans="1:14" ht="15" thickBot="1">
      <c r="A7" s="160" t="s">
        <v>20</v>
      </c>
      <c r="B7" s="161"/>
      <c r="C7" s="161"/>
      <c r="D7" s="161"/>
      <c r="E7" s="161"/>
      <c r="F7" s="162"/>
      <c r="I7" s="1"/>
      <c r="J7" s="2" t="s">
        <v>2</v>
      </c>
      <c r="K7" s="3" t="s">
        <v>21</v>
      </c>
      <c r="L7" s="3" t="s">
        <v>4</v>
      </c>
      <c r="M7" s="3" t="s">
        <v>5</v>
      </c>
      <c r="N7" s="4" t="s">
        <v>6</v>
      </c>
    </row>
    <row r="8" spans="1:14">
      <c r="A8" s="14"/>
      <c r="B8" s="14" t="s">
        <v>2</v>
      </c>
      <c r="C8" s="14" t="s">
        <v>22</v>
      </c>
      <c r="D8" s="14" t="s">
        <v>4</v>
      </c>
      <c r="E8" s="14" t="s">
        <v>5</v>
      </c>
      <c r="F8" s="14" t="s">
        <v>6</v>
      </c>
      <c r="I8" s="5" t="s">
        <v>23</v>
      </c>
      <c r="J8" s="6" t="s">
        <v>24</v>
      </c>
      <c r="K8" s="7" t="s">
        <v>25</v>
      </c>
      <c r="L8" s="8">
        <f>(6.29+31.7*L17^2+0.23*L14)^0.5</f>
        <v>11.635720862928949</v>
      </c>
      <c r="M8" s="7" t="s">
        <v>11</v>
      </c>
      <c r="N8" s="9"/>
    </row>
    <row r="9" spans="1:14">
      <c r="A9" s="14" t="s">
        <v>26</v>
      </c>
      <c r="B9" s="14" t="s">
        <v>27</v>
      </c>
      <c r="C9" s="74" t="s">
        <v>28</v>
      </c>
      <c r="D9" s="17">
        <f>L19</f>
        <v>2769883.3514202363</v>
      </c>
      <c r="E9" s="14" t="s">
        <v>17</v>
      </c>
      <c r="F9" s="14"/>
      <c r="I9" s="10" t="s">
        <v>29</v>
      </c>
      <c r="J9" s="11" t="s">
        <v>11</v>
      </c>
      <c r="K9" s="12" t="s">
        <v>30</v>
      </c>
      <c r="L9" s="13">
        <v>0</v>
      </c>
      <c r="M9" s="14" t="s">
        <v>11</v>
      </c>
      <c r="N9" s="15"/>
    </row>
    <row r="10" spans="1:14">
      <c r="A10" s="14" t="s">
        <v>31</v>
      </c>
      <c r="B10" s="14" t="s">
        <v>32</v>
      </c>
      <c r="C10" s="12" t="s">
        <v>1</v>
      </c>
      <c r="D10" s="14">
        <f>L4</f>
        <v>390309</v>
      </c>
      <c r="E10" s="14" t="s">
        <v>17</v>
      </c>
      <c r="F10" s="14"/>
      <c r="I10" s="10" t="s">
        <v>33</v>
      </c>
      <c r="J10" s="11" t="s">
        <v>11</v>
      </c>
      <c r="K10" s="12" t="s">
        <v>30</v>
      </c>
      <c r="L10" s="13">
        <v>2</v>
      </c>
      <c r="M10" s="14" t="s">
        <v>11</v>
      </c>
      <c r="N10" s="15"/>
    </row>
    <row r="11" spans="1:14">
      <c r="A11" s="14" t="s">
        <v>34</v>
      </c>
      <c r="B11" s="14" t="s">
        <v>35</v>
      </c>
      <c r="C11" s="75" t="s">
        <v>36</v>
      </c>
      <c r="D11" s="14">
        <f>L36</f>
        <v>126828938.40000001</v>
      </c>
      <c r="E11" s="14" t="s">
        <v>17</v>
      </c>
      <c r="F11" s="14"/>
      <c r="I11" s="10" t="s">
        <v>37</v>
      </c>
      <c r="J11" s="11" t="s">
        <v>11</v>
      </c>
      <c r="K11" s="12" t="s">
        <v>30</v>
      </c>
      <c r="L11" s="13">
        <v>5</v>
      </c>
      <c r="M11" s="14" t="s">
        <v>11</v>
      </c>
      <c r="N11" s="15"/>
    </row>
    <row r="12" spans="1:14">
      <c r="A12" s="14" t="s">
        <v>38</v>
      </c>
      <c r="B12" s="14" t="s">
        <v>39</v>
      </c>
      <c r="C12" s="76" t="s">
        <v>40</v>
      </c>
      <c r="D12" s="14">
        <f>0</f>
        <v>0</v>
      </c>
      <c r="E12" s="14" t="s">
        <v>17</v>
      </c>
      <c r="F12" s="14"/>
      <c r="I12" s="10" t="s">
        <v>41</v>
      </c>
      <c r="J12" s="11" t="s">
        <v>11</v>
      </c>
      <c r="K12" s="12" t="s">
        <v>30</v>
      </c>
      <c r="L12" s="13">
        <v>3</v>
      </c>
      <c r="M12" s="14" t="s">
        <v>11</v>
      </c>
      <c r="N12" s="15"/>
    </row>
    <row r="13" spans="1:14">
      <c r="A13" s="14" t="s">
        <v>42</v>
      </c>
      <c r="B13" s="14" t="s">
        <v>43</v>
      </c>
      <c r="C13" s="46" t="s">
        <v>14</v>
      </c>
      <c r="D13" s="14">
        <f>0.05*D5</f>
        <v>539709.5</v>
      </c>
      <c r="E13" s="14" t="s">
        <v>17</v>
      </c>
      <c r="F13" s="14" t="s">
        <v>44</v>
      </c>
      <c r="I13" s="10" t="s">
        <v>45</v>
      </c>
      <c r="J13" s="11" t="s">
        <v>11</v>
      </c>
      <c r="K13" s="12" t="s">
        <v>30</v>
      </c>
      <c r="L13" s="13">
        <v>0</v>
      </c>
      <c r="M13" s="14" t="s">
        <v>11</v>
      </c>
      <c r="N13" s="15"/>
    </row>
    <row r="14" spans="1:14">
      <c r="A14" s="14" t="s">
        <v>46</v>
      </c>
      <c r="B14" s="14" t="s">
        <v>47</v>
      </c>
      <c r="C14" s="46" t="s">
        <v>14</v>
      </c>
      <c r="D14" s="14">
        <f>0.1*D5</f>
        <v>1079419</v>
      </c>
      <c r="E14" s="14" t="s">
        <v>17</v>
      </c>
      <c r="F14" s="14" t="s">
        <v>48</v>
      </c>
      <c r="I14" s="16" t="s">
        <v>49</v>
      </c>
      <c r="J14" s="11" t="s">
        <v>50</v>
      </c>
      <c r="K14" s="14" t="s">
        <v>11</v>
      </c>
      <c r="L14" s="17">
        <f>SUM(L9:L13)</f>
        <v>10</v>
      </c>
      <c r="M14" s="14" t="s">
        <v>11</v>
      </c>
      <c r="N14" s="15"/>
    </row>
    <row r="15" spans="1:14">
      <c r="A15" s="153" t="s">
        <v>51</v>
      </c>
      <c r="B15" s="153"/>
      <c r="C15" s="153"/>
      <c r="D15" s="72">
        <f>SUM(D9:D14)</f>
        <v>131608259.25142024</v>
      </c>
      <c r="E15" s="14" t="s">
        <v>17</v>
      </c>
      <c r="F15" s="14"/>
      <c r="I15" s="16" t="s">
        <v>52</v>
      </c>
      <c r="J15" s="11" t="s">
        <v>11</v>
      </c>
      <c r="K15" s="14" t="s">
        <v>11</v>
      </c>
      <c r="L15" s="18">
        <v>4.5</v>
      </c>
      <c r="M15" s="14" t="s">
        <v>11</v>
      </c>
      <c r="N15" s="15"/>
    </row>
    <row r="16" spans="1:14">
      <c r="I16" s="16" t="s">
        <v>53</v>
      </c>
      <c r="J16" s="11" t="s">
        <v>54</v>
      </c>
      <c r="K16" s="14" t="s">
        <v>11</v>
      </c>
      <c r="L16" s="17">
        <f>L15*L8</f>
        <v>52.36074388318027</v>
      </c>
      <c r="M16" s="14" t="s">
        <v>11</v>
      </c>
      <c r="N16" s="15"/>
    </row>
    <row r="17" spans="9:14">
      <c r="I17" s="16" t="s">
        <v>55</v>
      </c>
      <c r="J17" s="11" t="s">
        <v>56</v>
      </c>
      <c r="K17" s="12" t="s">
        <v>30</v>
      </c>
      <c r="L17" s="13">
        <v>2</v>
      </c>
      <c r="M17" s="14" t="s">
        <v>11</v>
      </c>
      <c r="N17" s="15" t="s">
        <v>57</v>
      </c>
    </row>
    <row r="18" spans="9:14" ht="15" thickBot="1">
      <c r="I18" s="39" t="s">
        <v>58</v>
      </c>
      <c r="J18" s="53" t="s">
        <v>59</v>
      </c>
      <c r="K18" s="43" t="s">
        <v>11</v>
      </c>
      <c r="L18" s="54">
        <v>52900</v>
      </c>
      <c r="M18" s="43" t="s">
        <v>17</v>
      </c>
      <c r="N18" s="55"/>
    </row>
    <row r="19" spans="9:14" ht="15" thickBot="1">
      <c r="I19" s="175" t="s">
        <v>60</v>
      </c>
      <c r="J19" s="176"/>
      <c r="K19" s="177"/>
      <c r="L19" s="58">
        <f>L16*L18</f>
        <v>2769883.3514202363</v>
      </c>
      <c r="M19" s="1" t="s">
        <v>17</v>
      </c>
      <c r="N19" s="67" t="s">
        <v>61</v>
      </c>
    </row>
    <row r="20" spans="9:14" ht="15" thickBot="1"/>
    <row r="21" spans="9:14" ht="15" thickBot="1">
      <c r="I21" s="166" t="s">
        <v>62</v>
      </c>
      <c r="J21" s="167"/>
      <c r="K21" s="167"/>
      <c r="L21" s="167"/>
      <c r="M21" s="167"/>
      <c r="N21" s="168"/>
    </row>
    <row r="22" spans="9:14" ht="15" thickBot="1">
      <c r="I22" s="23"/>
      <c r="J22" s="24" t="s">
        <v>2</v>
      </c>
      <c r="K22" s="25" t="s">
        <v>21</v>
      </c>
      <c r="L22" s="25" t="s">
        <v>4</v>
      </c>
      <c r="M22" s="25" t="s">
        <v>5</v>
      </c>
      <c r="N22" s="26" t="s">
        <v>6</v>
      </c>
    </row>
    <row r="23" spans="9:14" ht="15" thickBot="1">
      <c r="I23" s="169" t="s">
        <v>81</v>
      </c>
      <c r="J23" s="170"/>
      <c r="K23" s="170"/>
      <c r="L23" s="170"/>
      <c r="M23" s="170"/>
      <c r="N23" s="171"/>
    </row>
    <row r="24" spans="9:14">
      <c r="I24" s="27" t="s">
        <v>82</v>
      </c>
      <c r="J24" s="51" t="s">
        <v>11</v>
      </c>
      <c r="K24" s="48" t="s">
        <v>83</v>
      </c>
      <c r="L24" s="49">
        <v>0.23</v>
      </c>
      <c r="M24" s="47" t="s">
        <v>66</v>
      </c>
      <c r="N24" s="50"/>
    </row>
    <row r="25" spans="9:14">
      <c r="I25" s="16" t="s">
        <v>84</v>
      </c>
      <c r="J25" s="11" t="s">
        <v>11</v>
      </c>
      <c r="K25" s="46" t="s">
        <v>85</v>
      </c>
      <c r="L25" s="80">
        <v>0.26</v>
      </c>
      <c r="M25" s="14" t="s">
        <v>66</v>
      </c>
      <c r="N25" s="15"/>
    </row>
    <row r="26" spans="9:14">
      <c r="I26" s="33" t="s">
        <v>67</v>
      </c>
      <c r="J26" s="34" t="s">
        <v>11</v>
      </c>
      <c r="K26" s="68" t="s">
        <v>68</v>
      </c>
      <c r="L26" s="35">
        <v>1E-3</v>
      </c>
      <c r="M26" s="36" t="s">
        <v>66</v>
      </c>
      <c r="N26" s="37" t="s">
        <v>69</v>
      </c>
    </row>
    <row r="27" spans="9:14">
      <c r="I27" s="33" t="s">
        <v>86</v>
      </c>
      <c r="J27" s="11" t="s">
        <v>11</v>
      </c>
      <c r="K27" s="14" t="s">
        <v>68</v>
      </c>
      <c r="L27" s="80">
        <v>3.5000000000000001E-3</v>
      </c>
      <c r="M27" s="14" t="s">
        <v>87</v>
      </c>
      <c r="N27" s="15"/>
    </row>
    <row r="28" spans="9:14">
      <c r="I28" s="33" t="s">
        <v>88</v>
      </c>
      <c r="J28" s="34" t="s">
        <v>11</v>
      </c>
      <c r="K28" s="78" t="s">
        <v>1</v>
      </c>
      <c r="L28" s="38">
        <v>701280</v>
      </c>
      <c r="M28" s="36" t="s">
        <v>71</v>
      </c>
      <c r="N28" s="37"/>
    </row>
    <row r="29" spans="9:14">
      <c r="I29" s="33" t="s">
        <v>89</v>
      </c>
      <c r="J29" s="11" t="s">
        <v>11</v>
      </c>
      <c r="K29" s="12" t="s">
        <v>1</v>
      </c>
      <c r="L29" s="13">
        <v>438300000</v>
      </c>
      <c r="M29" s="14" t="s">
        <v>71</v>
      </c>
      <c r="N29" s="15"/>
    </row>
    <row r="30" spans="9:14">
      <c r="I30" s="33" t="s">
        <v>72</v>
      </c>
      <c r="J30" s="34" t="s">
        <v>11</v>
      </c>
      <c r="K30" s="78" t="s">
        <v>1</v>
      </c>
      <c r="L30" s="38">
        <v>113704000</v>
      </c>
      <c r="M30" s="36" t="s">
        <v>71</v>
      </c>
      <c r="N30" s="37"/>
    </row>
    <row r="31" spans="9:14">
      <c r="I31" s="33" t="s">
        <v>90</v>
      </c>
      <c r="J31" s="11" t="s">
        <v>11</v>
      </c>
      <c r="K31" s="12" t="s">
        <v>1</v>
      </c>
      <c r="L31" s="13">
        <v>3598840000</v>
      </c>
      <c r="M31" s="14" t="s">
        <v>91</v>
      </c>
      <c r="N31" s="15"/>
    </row>
    <row r="32" spans="9:14">
      <c r="I32" s="33" t="s">
        <v>92</v>
      </c>
      <c r="J32" s="11" t="s">
        <v>11</v>
      </c>
      <c r="K32" s="14" t="s">
        <v>11</v>
      </c>
      <c r="L32" s="14">
        <f>L24*L28</f>
        <v>161294.39999999999</v>
      </c>
      <c r="M32" s="36" t="s">
        <v>17</v>
      </c>
      <c r="N32" s="15"/>
    </row>
    <row r="33" spans="9:14">
      <c r="I33" s="33" t="s">
        <v>93</v>
      </c>
      <c r="J33" s="11" t="s">
        <v>11</v>
      </c>
      <c r="K33" s="14" t="s">
        <v>11</v>
      </c>
      <c r="L33" s="14">
        <f t="shared" ref="L33:L35" si="0">L25*L29</f>
        <v>113958000</v>
      </c>
      <c r="M33" s="14" t="s">
        <v>17</v>
      </c>
      <c r="N33" s="15"/>
    </row>
    <row r="34" spans="9:14">
      <c r="I34" s="33" t="s">
        <v>74</v>
      </c>
      <c r="J34" s="11" t="s">
        <v>11</v>
      </c>
      <c r="K34" s="14" t="s">
        <v>11</v>
      </c>
      <c r="L34" s="14">
        <f t="shared" si="0"/>
        <v>113704</v>
      </c>
      <c r="M34" s="36" t="s">
        <v>17</v>
      </c>
      <c r="N34" s="15"/>
    </row>
    <row r="35" spans="9:14" ht="15" thickBot="1">
      <c r="I35" s="52" t="s">
        <v>94</v>
      </c>
      <c r="J35" s="61" t="s">
        <v>11</v>
      </c>
      <c r="K35" s="59" t="s">
        <v>11</v>
      </c>
      <c r="L35" s="43">
        <f t="shared" si="0"/>
        <v>12595940</v>
      </c>
      <c r="M35" s="59" t="s">
        <v>17</v>
      </c>
      <c r="N35" s="60"/>
    </row>
    <row r="36" spans="9:14" ht="15" thickBot="1">
      <c r="I36" s="181" t="s">
        <v>75</v>
      </c>
      <c r="J36" s="182"/>
      <c r="K36" s="183"/>
      <c r="L36" s="1">
        <f>SUM(L32:L35)</f>
        <v>126828938.40000001</v>
      </c>
      <c r="M36" s="81" t="s">
        <v>17</v>
      </c>
      <c r="N36" s="45"/>
    </row>
    <row r="39" spans="9:14">
      <c r="I39" s="96"/>
      <c r="J39" s="96"/>
      <c r="K39" s="96"/>
      <c r="L39" s="96"/>
      <c r="M39" s="96"/>
      <c r="N39" s="96"/>
    </row>
    <row r="40" spans="9:14">
      <c r="I40" s="96"/>
      <c r="J40" s="96"/>
      <c r="K40" s="96"/>
      <c r="L40" s="96"/>
      <c r="M40" s="96"/>
      <c r="N40" s="96"/>
    </row>
    <row r="41" spans="9:14">
      <c r="I41" s="96"/>
      <c r="J41" s="96"/>
      <c r="K41" s="109"/>
      <c r="L41" s="96"/>
      <c r="M41" s="96"/>
      <c r="N41" s="96"/>
    </row>
    <row r="42" spans="9:14">
      <c r="I42" s="96"/>
      <c r="J42" s="96"/>
      <c r="K42" s="96"/>
      <c r="L42" s="96"/>
      <c r="M42" s="96"/>
      <c r="N42" s="96"/>
    </row>
    <row r="43" spans="9:14">
      <c r="I43" s="96"/>
      <c r="J43" s="96"/>
      <c r="K43" s="96"/>
      <c r="L43" s="96"/>
      <c r="M43" s="96"/>
      <c r="N43" s="96"/>
    </row>
  </sheetData>
  <mergeCells count="10">
    <mergeCell ref="A15:C15"/>
    <mergeCell ref="I19:K19"/>
    <mergeCell ref="I21:N21"/>
    <mergeCell ref="I23:N23"/>
    <mergeCell ref="I36:K36"/>
    <mergeCell ref="A1:F1"/>
    <mergeCell ref="I1:N1"/>
    <mergeCell ref="A5:C5"/>
    <mergeCell ref="I6:N6"/>
    <mergeCell ref="A7:F7"/>
  </mergeCells>
  <hyperlinks>
    <hyperlink ref="N19" r:id="rId1" location="v=onepage&amp;q=turton%20analysis%20synthesis%20third%20edition&amp;f=false" xr:uid="{4B0C85D3-FD4E-486A-8C8B-E55709EA239E}"/>
    <hyperlink ref="C4" r:id="rId2" xr:uid="{802069E4-E586-448F-8707-E0A47B386EB7}"/>
    <hyperlink ref="C13" r:id="rId3" xr:uid="{B58B42D3-C0AE-430D-8E8A-D5AB61E015C1}"/>
    <hyperlink ref="C14" r:id="rId4" xr:uid="{D0534AD4-18E5-40BC-ABEB-F8258ED13B8F}"/>
    <hyperlink ref="K26" r:id="rId5" location="v=onepage&amp;q=turton%20analysis%20synthesis%20third%20edition&amp;f=false" xr:uid="{1DF298CF-4800-43AD-8A26-9D8514459993}"/>
    <hyperlink ref="K24" r:id="rId6" xr:uid="{133C8AEC-AF61-4D05-9948-996DD941DFD7}"/>
    <hyperlink ref="K25" r:id="rId7" xr:uid="{D9893465-CA80-4E9C-AAC5-554C0ACEC5C9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EA4D3-3868-4489-830D-120A5A0BDFBA}">
  <sheetPr>
    <tabColor theme="9" tint="0.59999389629810485"/>
  </sheetPr>
  <dimension ref="A1:O74"/>
  <sheetViews>
    <sheetView topLeftCell="A42" workbookViewId="0">
      <selection activeCell="M70" sqref="M70"/>
    </sheetView>
  </sheetViews>
  <sheetFormatPr defaultRowHeight="14.45"/>
  <cols>
    <col min="1" max="1" width="35.42578125" customWidth="1"/>
    <col min="4" max="4" width="10.140625" customWidth="1"/>
    <col min="6" max="6" width="26.5703125" customWidth="1"/>
    <col min="10" max="10" width="35.5703125" customWidth="1"/>
    <col min="13" max="13" width="12" bestFit="1" customWidth="1"/>
    <col min="15" max="15" width="59.5703125" customWidth="1"/>
  </cols>
  <sheetData>
    <row r="1" spans="1:15" ht="15" thickBot="1">
      <c r="A1" s="117" t="s">
        <v>95</v>
      </c>
      <c r="B1" s="117"/>
      <c r="C1" s="117"/>
      <c r="D1" s="117"/>
      <c r="E1" s="117"/>
      <c r="F1" s="117"/>
      <c r="H1" s="104"/>
      <c r="J1" s="150" t="s">
        <v>1</v>
      </c>
      <c r="K1" s="151"/>
      <c r="L1" s="151"/>
      <c r="M1" s="151"/>
      <c r="N1" s="151"/>
      <c r="O1" s="152"/>
    </row>
    <row r="2" spans="1:15" ht="15" thickBot="1">
      <c r="A2" s="14"/>
      <c r="B2" s="14" t="s">
        <v>2</v>
      </c>
      <c r="C2" s="14" t="s">
        <v>3</v>
      </c>
      <c r="D2" s="14" t="s">
        <v>4</v>
      </c>
      <c r="E2" s="14" t="s">
        <v>5</v>
      </c>
      <c r="F2" s="14" t="s">
        <v>6</v>
      </c>
      <c r="H2" s="104"/>
      <c r="J2" s="1"/>
      <c r="K2" s="2" t="s">
        <v>2</v>
      </c>
      <c r="L2" s="3" t="s">
        <v>3</v>
      </c>
      <c r="M2" s="3" t="s">
        <v>4</v>
      </c>
      <c r="N2" s="3" t="s">
        <v>5</v>
      </c>
      <c r="O2" s="4" t="s">
        <v>6</v>
      </c>
    </row>
    <row r="3" spans="1:15" ht="15" thickBot="1">
      <c r="A3" s="14" t="s">
        <v>7</v>
      </c>
      <c r="B3" s="14" t="s">
        <v>8</v>
      </c>
      <c r="C3" s="12" t="s">
        <v>1</v>
      </c>
      <c r="D3" s="17">
        <f>M4</f>
        <v>98420229.33676976</v>
      </c>
      <c r="E3" s="14" t="s">
        <v>9</v>
      </c>
      <c r="F3" s="14"/>
      <c r="H3" s="104"/>
      <c r="J3" s="204" t="s">
        <v>96</v>
      </c>
      <c r="K3" s="205"/>
      <c r="L3" s="205"/>
      <c r="M3" s="205"/>
      <c r="N3" s="205"/>
      <c r="O3" s="206"/>
    </row>
    <row r="4" spans="1:15">
      <c r="A4" s="14" t="s">
        <v>12</v>
      </c>
      <c r="B4" s="14" t="s">
        <v>13</v>
      </c>
      <c r="C4" s="46" t="s">
        <v>14</v>
      </c>
      <c r="D4" s="14">
        <v>0.1</v>
      </c>
      <c r="E4" s="14" t="s">
        <v>11</v>
      </c>
      <c r="F4" s="14" t="s">
        <v>15</v>
      </c>
      <c r="H4" s="104"/>
      <c r="J4" s="94" t="s">
        <v>10</v>
      </c>
      <c r="K4" s="6" t="s">
        <v>11</v>
      </c>
      <c r="L4" s="7" t="s">
        <v>11</v>
      </c>
      <c r="M4" s="8">
        <f>M65+M68</f>
        <v>98420229.33676976</v>
      </c>
      <c r="N4" s="7" t="s">
        <v>9</v>
      </c>
      <c r="O4" s="9"/>
    </row>
    <row r="5" spans="1:15" ht="15" thickBot="1">
      <c r="A5" s="116" t="s">
        <v>97</v>
      </c>
      <c r="B5" s="116"/>
      <c r="C5" s="116"/>
      <c r="D5" s="103">
        <f>D3*(1+D4)</f>
        <v>108262252.27044675</v>
      </c>
      <c r="E5" s="14" t="s">
        <v>9</v>
      </c>
      <c r="F5" s="14"/>
      <c r="H5" s="104"/>
      <c r="J5" s="19" t="s">
        <v>16</v>
      </c>
      <c r="K5" s="20" t="s">
        <v>11</v>
      </c>
      <c r="L5" s="21" t="s">
        <v>11</v>
      </c>
      <c r="M5" s="21">
        <f>M66+M69</f>
        <v>366193311.01984942</v>
      </c>
      <c r="N5" s="21" t="s">
        <v>17</v>
      </c>
      <c r="O5" s="22"/>
    </row>
    <row r="6" spans="1:15" ht="15" thickBot="1">
      <c r="H6" s="104"/>
    </row>
    <row r="7" spans="1:15" ht="15" thickBot="1">
      <c r="A7" s="118" t="s">
        <v>98</v>
      </c>
      <c r="B7" s="119"/>
      <c r="C7" s="119"/>
      <c r="D7" s="119"/>
      <c r="E7" s="119"/>
      <c r="F7" s="120"/>
      <c r="H7" s="104"/>
      <c r="J7" s="207" t="s">
        <v>19</v>
      </c>
      <c r="K7" s="208"/>
      <c r="L7" s="208"/>
      <c r="M7" s="208"/>
      <c r="N7" s="208"/>
      <c r="O7" s="209"/>
    </row>
    <row r="8" spans="1:15" ht="15" thickBot="1">
      <c r="A8" s="14"/>
      <c r="B8" s="14" t="s">
        <v>2</v>
      </c>
      <c r="C8" s="14" t="s">
        <v>22</v>
      </c>
      <c r="D8" s="14" t="s">
        <v>4</v>
      </c>
      <c r="E8" s="14" t="s">
        <v>5</v>
      </c>
      <c r="F8" s="14" t="s">
        <v>6</v>
      </c>
      <c r="H8" s="104"/>
      <c r="J8" s="83"/>
      <c r="K8" s="84" t="s">
        <v>2</v>
      </c>
      <c r="L8" s="85" t="s">
        <v>21</v>
      </c>
      <c r="M8" s="85" t="s">
        <v>4</v>
      </c>
      <c r="N8" s="85" t="s">
        <v>5</v>
      </c>
      <c r="O8" s="86" t="s">
        <v>6</v>
      </c>
    </row>
    <row r="9" spans="1:15" ht="15" thickBot="1">
      <c r="A9" s="14" t="s">
        <v>26</v>
      </c>
      <c r="B9" s="14" t="s">
        <v>27</v>
      </c>
      <c r="C9" s="74" t="s">
        <v>28</v>
      </c>
      <c r="D9" s="17">
        <f>M21</f>
        <v>2795643.632654205</v>
      </c>
      <c r="E9" s="14" t="s">
        <v>17</v>
      </c>
      <c r="F9" s="14"/>
      <c r="H9" s="104"/>
      <c r="J9" s="204" t="s">
        <v>99</v>
      </c>
      <c r="K9" s="205"/>
      <c r="L9" s="205"/>
      <c r="M9" s="205"/>
      <c r="N9" s="205"/>
      <c r="O9" s="206"/>
    </row>
    <row r="10" spans="1:15">
      <c r="A10" s="14" t="s">
        <v>31</v>
      </c>
      <c r="B10" s="14" t="s">
        <v>32</v>
      </c>
      <c r="C10" s="12" t="s">
        <v>1</v>
      </c>
      <c r="D10" s="14">
        <f>M5</f>
        <v>366193311.01984942</v>
      </c>
      <c r="E10" s="14" t="s">
        <v>17</v>
      </c>
      <c r="F10" s="14"/>
      <c r="H10" s="104"/>
      <c r="J10" s="94" t="s">
        <v>23</v>
      </c>
      <c r="K10" s="93" t="s">
        <v>24</v>
      </c>
      <c r="L10" s="87" t="s">
        <v>25</v>
      </c>
      <c r="M10" s="91">
        <f>(6.29+31.7*M19^2+0.23*M16)^0.5</f>
        <v>11.743934604722559</v>
      </c>
      <c r="N10" s="87" t="s">
        <v>11</v>
      </c>
      <c r="O10" s="88"/>
    </row>
    <row r="11" spans="1:15">
      <c r="A11" s="14" t="s">
        <v>34</v>
      </c>
      <c r="B11" s="14" t="s">
        <v>35</v>
      </c>
      <c r="C11" s="75" t="s">
        <v>36</v>
      </c>
      <c r="D11" s="14">
        <f>M47</f>
        <v>42123970.484597795</v>
      </c>
      <c r="E11" s="14" t="s">
        <v>17</v>
      </c>
      <c r="F11" s="14"/>
      <c r="H11" s="104"/>
      <c r="J11" s="10" t="s">
        <v>29</v>
      </c>
      <c r="K11" s="11" t="s">
        <v>11</v>
      </c>
      <c r="L11" s="12" t="s">
        <v>30</v>
      </c>
      <c r="M11" s="13">
        <v>3</v>
      </c>
      <c r="N11" s="14" t="s">
        <v>11</v>
      </c>
      <c r="O11" s="15"/>
    </row>
    <row r="12" spans="1:15">
      <c r="A12" s="14" t="s">
        <v>38</v>
      </c>
      <c r="B12" s="14" t="s">
        <v>39</v>
      </c>
      <c r="C12" s="76" t="s">
        <v>40</v>
      </c>
      <c r="D12" s="17">
        <v>0</v>
      </c>
      <c r="E12" s="14" t="s">
        <v>17</v>
      </c>
      <c r="F12" s="14" t="s">
        <v>100</v>
      </c>
      <c r="H12" s="104"/>
      <c r="J12" s="10" t="s">
        <v>33</v>
      </c>
      <c r="K12" s="11" t="s">
        <v>11</v>
      </c>
      <c r="L12" s="12" t="s">
        <v>30</v>
      </c>
      <c r="M12" s="13">
        <v>7</v>
      </c>
      <c r="N12" s="14" t="s">
        <v>11</v>
      </c>
      <c r="O12" s="15"/>
    </row>
    <row r="13" spans="1:15">
      <c r="A13" s="14" t="s">
        <v>42</v>
      </c>
      <c r="B13" s="14" t="s">
        <v>43</v>
      </c>
      <c r="C13" s="46" t="s">
        <v>14</v>
      </c>
      <c r="D13" s="14">
        <f>0.05*D5</f>
        <v>5413112.6135223377</v>
      </c>
      <c r="E13" s="14" t="s">
        <v>17</v>
      </c>
      <c r="F13" s="14" t="s">
        <v>44</v>
      </c>
      <c r="H13" s="104"/>
      <c r="J13" s="10" t="s">
        <v>37</v>
      </c>
      <c r="K13" s="11" t="s">
        <v>11</v>
      </c>
      <c r="L13" s="12" t="s">
        <v>30</v>
      </c>
      <c r="M13" s="13">
        <v>2</v>
      </c>
      <c r="N13" s="14" t="s">
        <v>11</v>
      </c>
      <c r="O13" s="15"/>
    </row>
    <row r="14" spans="1:15">
      <c r="A14" s="14" t="s">
        <v>46</v>
      </c>
      <c r="B14" s="14" t="s">
        <v>47</v>
      </c>
      <c r="C14" s="46" t="s">
        <v>14</v>
      </c>
      <c r="D14" s="14">
        <f>0.1*D5</f>
        <v>10826225.227044675</v>
      </c>
      <c r="E14" s="14" t="s">
        <v>17</v>
      </c>
      <c r="F14" s="14" t="s">
        <v>48</v>
      </c>
      <c r="H14" s="104"/>
      <c r="J14" s="10" t="s">
        <v>41</v>
      </c>
      <c r="K14" s="11" t="s">
        <v>11</v>
      </c>
      <c r="L14" s="12" t="s">
        <v>30</v>
      </c>
      <c r="M14" s="13">
        <v>9</v>
      </c>
      <c r="N14" s="14" t="s">
        <v>11</v>
      </c>
      <c r="O14" s="15"/>
    </row>
    <row r="15" spans="1:15">
      <c r="A15" s="210" t="s">
        <v>101</v>
      </c>
      <c r="B15" s="210"/>
      <c r="C15" s="210"/>
      <c r="D15" s="102">
        <f>SUM(D9:D14)</f>
        <v>427352262.97766846</v>
      </c>
      <c r="E15" s="14" t="s">
        <v>17</v>
      </c>
      <c r="F15" s="14"/>
      <c r="H15" s="104"/>
      <c r="J15" s="10" t="s">
        <v>45</v>
      </c>
      <c r="K15" s="11" t="s">
        <v>11</v>
      </c>
      <c r="L15" s="12" t="s">
        <v>30</v>
      </c>
      <c r="M15" s="13">
        <v>0</v>
      </c>
      <c r="N15" s="14" t="s">
        <v>11</v>
      </c>
      <c r="O15" s="15"/>
    </row>
    <row r="16" spans="1:15">
      <c r="H16" s="104"/>
      <c r="J16" s="16" t="s">
        <v>49</v>
      </c>
      <c r="K16" s="11" t="s">
        <v>50</v>
      </c>
      <c r="L16" s="14" t="s">
        <v>11</v>
      </c>
      <c r="M16" s="17">
        <f>SUM(M11:M15)</f>
        <v>21</v>
      </c>
      <c r="N16" s="14" t="s">
        <v>11</v>
      </c>
      <c r="O16" s="15"/>
    </row>
    <row r="17" spans="1:15">
      <c r="A17" s="203" t="s">
        <v>102</v>
      </c>
      <c r="B17" s="203"/>
      <c r="C17" s="203"/>
      <c r="D17" s="203"/>
      <c r="E17" s="203"/>
      <c r="F17" s="203"/>
      <c r="H17" s="104"/>
      <c r="J17" s="16" t="s">
        <v>52</v>
      </c>
      <c r="K17" s="11" t="s">
        <v>11</v>
      </c>
      <c r="L17" s="14" t="s">
        <v>11</v>
      </c>
      <c r="M17" s="18">
        <v>4.5</v>
      </c>
      <c r="N17" s="14" t="s">
        <v>11</v>
      </c>
      <c r="O17" s="15"/>
    </row>
    <row r="18" spans="1:15">
      <c r="A18" s="14"/>
      <c r="B18" s="14" t="s">
        <v>2</v>
      </c>
      <c r="C18" s="14" t="s">
        <v>3</v>
      </c>
      <c r="D18" s="14" t="s">
        <v>4</v>
      </c>
      <c r="E18" s="14" t="s">
        <v>5</v>
      </c>
      <c r="F18" s="14" t="s">
        <v>6</v>
      </c>
      <c r="H18" s="104"/>
      <c r="J18" s="16" t="s">
        <v>53</v>
      </c>
      <c r="K18" s="11" t="s">
        <v>54</v>
      </c>
      <c r="L18" s="14" t="s">
        <v>11</v>
      </c>
      <c r="M18" s="17">
        <f>M17*M10</f>
        <v>52.847705721251515</v>
      </c>
      <c r="N18" s="14" t="s">
        <v>11</v>
      </c>
      <c r="O18" s="15"/>
    </row>
    <row r="19" spans="1:15">
      <c r="A19" s="193" t="s">
        <v>103</v>
      </c>
      <c r="B19" s="193"/>
      <c r="C19" s="193"/>
      <c r="D19" s="193"/>
      <c r="E19" s="193"/>
      <c r="F19" s="193"/>
      <c r="H19" s="104"/>
      <c r="J19" s="16" t="s">
        <v>55</v>
      </c>
      <c r="K19" s="11" t="s">
        <v>56</v>
      </c>
      <c r="L19" s="12" t="s">
        <v>30</v>
      </c>
      <c r="M19" s="13">
        <v>2</v>
      </c>
      <c r="N19" s="14" t="s">
        <v>11</v>
      </c>
      <c r="O19" s="15" t="s">
        <v>57</v>
      </c>
    </row>
    <row r="20" spans="1:15" ht="15" thickBot="1">
      <c r="A20" s="14" t="s">
        <v>104</v>
      </c>
      <c r="B20" s="14" t="s">
        <v>11</v>
      </c>
      <c r="C20" s="46" t="s">
        <v>105</v>
      </c>
      <c r="D20" s="14">
        <v>0.68</v>
      </c>
      <c r="E20" s="14" t="s">
        <v>66</v>
      </c>
      <c r="F20" s="14"/>
      <c r="H20" s="104"/>
      <c r="J20" s="19" t="s">
        <v>58</v>
      </c>
      <c r="K20" s="53" t="s">
        <v>59</v>
      </c>
      <c r="L20" s="43" t="s">
        <v>11</v>
      </c>
      <c r="M20" s="18">
        <v>52900</v>
      </c>
      <c r="N20" s="14" t="s">
        <v>17</v>
      </c>
      <c r="O20" s="15"/>
    </row>
    <row r="21" spans="1:15" ht="14.1" customHeight="1" thickBot="1">
      <c r="A21" s="14" t="s">
        <v>106</v>
      </c>
      <c r="B21" s="14" t="s">
        <v>11</v>
      </c>
      <c r="C21" s="12" t="s">
        <v>1</v>
      </c>
      <c r="D21" s="13">
        <v>7173020</v>
      </c>
      <c r="E21" s="14" t="s">
        <v>71</v>
      </c>
      <c r="F21" s="14"/>
      <c r="H21" s="104"/>
      <c r="J21" s="175" t="s">
        <v>107</v>
      </c>
      <c r="K21" s="176"/>
      <c r="L21" s="177"/>
      <c r="M21" s="89">
        <f>M18*M20</f>
        <v>2795643.632654205</v>
      </c>
      <c r="N21" s="21" t="s">
        <v>17</v>
      </c>
      <c r="O21" s="92" t="s">
        <v>61</v>
      </c>
    </row>
    <row r="22" spans="1:15" ht="15" thickBot="1">
      <c r="A22" s="194" t="s">
        <v>108</v>
      </c>
      <c r="B22" s="195"/>
      <c r="C22" s="196"/>
      <c r="D22" s="14">
        <f>D21</f>
        <v>7173020</v>
      </c>
      <c r="E22" s="14" t="s">
        <v>17</v>
      </c>
      <c r="F22" s="14"/>
      <c r="H22" s="104"/>
      <c r="J22" s="124"/>
      <c r="K22" s="124"/>
      <c r="L22" s="124"/>
      <c r="M22" s="82"/>
    </row>
    <row r="23" spans="1:15" ht="15" thickBot="1">
      <c r="A23" s="193" t="s">
        <v>96</v>
      </c>
      <c r="B23" s="193"/>
      <c r="C23" s="193"/>
      <c r="D23" s="193"/>
      <c r="E23" s="193"/>
      <c r="F23" s="193"/>
      <c r="H23" s="104"/>
      <c r="J23" s="110" t="s">
        <v>62</v>
      </c>
      <c r="K23" s="111"/>
      <c r="L23" s="111"/>
      <c r="M23" s="111"/>
      <c r="N23" s="111"/>
      <c r="O23" s="112"/>
    </row>
    <row r="24" spans="1:15" ht="15" thickBot="1">
      <c r="A24" s="14" t="s">
        <v>109</v>
      </c>
      <c r="B24" s="14" t="s">
        <v>11</v>
      </c>
      <c r="C24" s="46" t="s">
        <v>110</v>
      </c>
      <c r="D24" s="14">
        <v>0.37</v>
      </c>
      <c r="E24" s="14" t="s">
        <v>66</v>
      </c>
      <c r="F24" s="14"/>
      <c r="H24" s="104"/>
      <c r="J24" s="23"/>
      <c r="K24" s="24" t="s">
        <v>2</v>
      </c>
      <c r="L24" s="25" t="s">
        <v>21</v>
      </c>
      <c r="M24" s="25" t="s">
        <v>4</v>
      </c>
      <c r="N24" s="25" t="s">
        <v>5</v>
      </c>
      <c r="O24" s="26" t="s">
        <v>6</v>
      </c>
    </row>
    <row r="25" spans="1:15" ht="15" thickBot="1">
      <c r="A25" s="14" t="s">
        <v>104</v>
      </c>
      <c r="B25" s="14" t="s">
        <v>11</v>
      </c>
      <c r="C25" s="46" t="s">
        <v>105</v>
      </c>
      <c r="D25" s="14">
        <v>0.68</v>
      </c>
      <c r="E25" s="14" t="s">
        <v>66</v>
      </c>
      <c r="F25" s="14"/>
      <c r="H25" s="104"/>
      <c r="J25" s="197" t="s">
        <v>103</v>
      </c>
      <c r="K25" s="198"/>
      <c r="L25" s="198"/>
      <c r="M25" s="198"/>
      <c r="N25" s="198"/>
      <c r="O25" s="199"/>
    </row>
    <row r="26" spans="1:15">
      <c r="A26" s="14" t="s">
        <v>111</v>
      </c>
      <c r="B26" s="14" t="s">
        <v>11</v>
      </c>
      <c r="C26" s="12" t="s">
        <v>1</v>
      </c>
      <c r="D26" s="13">
        <v>47797200</v>
      </c>
      <c r="E26" s="14" t="s">
        <v>71</v>
      </c>
      <c r="F26" s="14"/>
      <c r="H26" s="104"/>
      <c r="J26" s="94" t="s">
        <v>112</v>
      </c>
      <c r="K26" s="93" t="s">
        <v>11</v>
      </c>
      <c r="L26" s="48" t="s">
        <v>113</v>
      </c>
      <c r="M26" s="100">
        <v>0.214</v>
      </c>
      <c r="N26" s="87" t="s">
        <v>66</v>
      </c>
      <c r="O26" s="88"/>
    </row>
    <row r="27" spans="1:15">
      <c r="A27" s="14" t="s">
        <v>106</v>
      </c>
      <c r="B27" s="14" t="s">
        <v>11</v>
      </c>
      <c r="C27" s="12" t="s">
        <v>1</v>
      </c>
      <c r="D27" s="13">
        <v>4519000</v>
      </c>
      <c r="E27" s="14" t="s">
        <v>71</v>
      </c>
      <c r="F27" s="14"/>
      <c r="H27" s="104"/>
      <c r="J27" s="33" t="s">
        <v>67</v>
      </c>
      <c r="K27" s="34" t="s">
        <v>11</v>
      </c>
      <c r="L27" s="68" t="s">
        <v>68</v>
      </c>
      <c r="M27" s="35">
        <v>1E-3</v>
      </c>
      <c r="N27" s="36" t="s">
        <v>66</v>
      </c>
      <c r="O27" s="37" t="s">
        <v>69</v>
      </c>
    </row>
    <row r="28" spans="1:15">
      <c r="A28" s="200" t="s">
        <v>114</v>
      </c>
      <c r="B28" s="201"/>
      <c r="C28" s="202"/>
      <c r="D28" s="103">
        <f>D24*D26+D25*D27</f>
        <v>20757884</v>
      </c>
      <c r="E28" s="14" t="s">
        <v>17</v>
      </c>
      <c r="F28" s="14" t="s">
        <v>115</v>
      </c>
      <c r="H28" s="104"/>
      <c r="J28" s="16" t="s">
        <v>116</v>
      </c>
      <c r="K28" s="11" t="s">
        <v>11</v>
      </c>
      <c r="L28" s="46" t="s">
        <v>117</v>
      </c>
      <c r="M28" s="80">
        <v>141</v>
      </c>
      <c r="N28" s="14" t="s">
        <v>66</v>
      </c>
      <c r="O28" s="15"/>
    </row>
    <row r="29" spans="1:15">
      <c r="D29" s="82"/>
      <c r="H29" s="104"/>
      <c r="J29" s="16" t="s">
        <v>118</v>
      </c>
      <c r="K29" s="11"/>
      <c r="L29" s="12" t="s">
        <v>1</v>
      </c>
      <c r="M29" s="13">
        <v>193888000</v>
      </c>
      <c r="N29" s="14" t="s">
        <v>71</v>
      </c>
      <c r="O29" s="15"/>
    </row>
    <row r="30" spans="1:15">
      <c r="D30" s="82"/>
      <c r="H30" s="104"/>
      <c r="J30" s="33" t="s">
        <v>72</v>
      </c>
      <c r="K30" s="34" t="s">
        <v>11</v>
      </c>
      <c r="L30" s="78" t="s">
        <v>1</v>
      </c>
      <c r="M30" s="38">
        <v>189506000</v>
      </c>
      <c r="N30" s="36" t="s">
        <v>71</v>
      </c>
      <c r="O30" s="37"/>
    </row>
    <row r="31" spans="1:15">
      <c r="H31" s="104"/>
      <c r="J31" s="33" t="s">
        <v>119</v>
      </c>
      <c r="K31" s="11" t="s">
        <v>11</v>
      </c>
      <c r="L31" s="78" t="s">
        <v>1</v>
      </c>
      <c r="M31" s="38">
        <v>0</v>
      </c>
      <c r="N31" s="14" t="s">
        <v>71</v>
      </c>
      <c r="O31" s="15"/>
    </row>
    <row r="32" spans="1:15">
      <c r="H32" s="104"/>
      <c r="J32" s="33" t="s">
        <v>120</v>
      </c>
      <c r="K32" s="11" t="s">
        <v>11</v>
      </c>
      <c r="L32" s="14" t="s">
        <v>11</v>
      </c>
      <c r="M32" s="14">
        <f>M26*M29</f>
        <v>41492032</v>
      </c>
      <c r="N32" s="14" t="s">
        <v>17</v>
      </c>
      <c r="O32" s="15"/>
    </row>
    <row r="33" spans="8:15">
      <c r="H33" s="104"/>
      <c r="J33" s="33" t="s">
        <v>74</v>
      </c>
      <c r="K33" s="34" t="s">
        <v>11</v>
      </c>
      <c r="L33" s="36" t="s">
        <v>11</v>
      </c>
      <c r="M33" s="36">
        <f>M27*M30</f>
        <v>189506</v>
      </c>
      <c r="N33" s="36" t="s">
        <v>17</v>
      </c>
      <c r="O33" s="37"/>
    </row>
    <row r="34" spans="8:15" ht="15" thickBot="1">
      <c r="H34" s="104"/>
      <c r="J34" s="52" t="s">
        <v>121</v>
      </c>
      <c r="K34" s="53" t="s">
        <v>11</v>
      </c>
      <c r="L34" s="43" t="s">
        <v>11</v>
      </c>
      <c r="M34" s="36">
        <f>M28*M31</f>
        <v>0</v>
      </c>
      <c r="N34" s="14" t="s">
        <v>17</v>
      </c>
      <c r="O34" s="15"/>
    </row>
    <row r="35" spans="8:15" ht="15" thickBot="1">
      <c r="H35" s="104"/>
      <c r="J35" s="184" t="s">
        <v>122</v>
      </c>
      <c r="K35" s="185"/>
      <c r="L35" s="186"/>
      <c r="M35" s="53">
        <f>M32+M33+M34</f>
        <v>41681538</v>
      </c>
      <c r="N35" s="42" t="s">
        <v>17</v>
      </c>
      <c r="O35" s="55"/>
    </row>
    <row r="36" spans="8:15" ht="15" thickBot="1">
      <c r="H36" s="104"/>
      <c r="J36" s="190" t="s">
        <v>96</v>
      </c>
      <c r="K36" s="191"/>
      <c r="L36" s="191"/>
      <c r="M36" s="191"/>
      <c r="N36" s="191"/>
      <c r="O36" s="192"/>
    </row>
    <row r="37" spans="8:15">
      <c r="H37" s="104"/>
      <c r="J37" s="27" t="s">
        <v>67</v>
      </c>
      <c r="K37" s="28" t="s">
        <v>11</v>
      </c>
      <c r="L37" s="142" t="s">
        <v>68</v>
      </c>
      <c r="M37" s="30">
        <v>1E-3</v>
      </c>
      <c r="N37" s="31" t="s">
        <v>66</v>
      </c>
      <c r="O37" s="32" t="s">
        <v>69</v>
      </c>
    </row>
    <row r="38" spans="8:15">
      <c r="H38" s="104"/>
      <c r="J38" s="33" t="s">
        <v>86</v>
      </c>
      <c r="K38" s="11" t="s">
        <v>11</v>
      </c>
      <c r="L38" s="14" t="s">
        <v>68</v>
      </c>
      <c r="M38" s="80">
        <v>3.5000000000000001E-3</v>
      </c>
      <c r="N38" s="14" t="s">
        <v>87</v>
      </c>
      <c r="O38" s="15"/>
    </row>
    <row r="39" spans="8:15">
      <c r="H39" s="104"/>
      <c r="J39" s="33" t="s">
        <v>123</v>
      </c>
      <c r="K39" s="11" t="s">
        <v>11</v>
      </c>
      <c r="L39" s="46" t="s">
        <v>124</v>
      </c>
      <c r="M39" s="80">
        <v>0.32</v>
      </c>
      <c r="N39" s="14" t="s">
        <v>66</v>
      </c>
      <c r="O39" s="15"/>
    </row>
    <row r="40" spans="8:15">
      <c r="H40" s="104"/>
      <c r="J40" s="33" t="s">
        <v>72</v>
      </c>
      <c r="K40" s="11" t="s">
        <v>11</v>
      </c>
      <c r="L40" s="78" t="s">
        <v>1</v>
      </c>
      <c r="M40" s="38">
        <v>33953200</v>
      </c>
      <c r="N40" s="14" t="s">
        <v>71</v>
      </c>
      <c r="O40" s="15"/>
    </row>
    <row r="41" spans="8:15">
      <c r="H41" s="104"/>
      <c r="J41" s="33" t="s">
        <v>125</v>
      </c>
      <c r="K41" s="11" t="s">
        <v>11</v>
      </c>
      <c r="L41" s="78" t="s">
        <v>1</v>
      </c>
      <c r="M41" s="38">
        <v>116695000</v>
      </c>
      <c r="N41" s="14" t="s">
        <v>91</v>
      </c>
      <c r="O41" s="15"/>
    </row>
    <row r="42" spans="8:15" ht="101.45">
      <c r="H42" s="104"/>
      <c r="J42" s="33" t="s">
        <v>119</v>
      </c>
      <c r="K42" s="11" t="s">
        <v>11</v>
      </c>
      <c r="L42" s="78" t="s">
        <v>1</v>
      </c>
      <c r="M42" s="38">
        <f>2*2*36.5504670291087</f>
        <v>146.20186811643481</v>
      </c>
      <c r="N42" s="14" t="s">
        <v>71</v>
      </c>
      <c r="O42" s="129" t="s">
        <v>126</v>
      </c>
    </row>
    <row r="43" spans="8:15">
      <c r="H43" s="104"/>
      <c r="J43" s="33" t="s">
        <v>74</v>
      </c>
      <c r="K43" s="34" t="s">
        <v>11</v>
      </c>
      <c r="L43" s="14" t="s">
        <v>11</v>
      </c>
      <c r="M43" s="14">
        <f>M37*M40</f>
        <v>33953.199999999997</v>
      </c>
      <c r="N43" s="36" t="s">
        <v>17</v>
      </c>
      <c r="O43" s="37"/>
    </row>
    <row r="44" spans="8:15">
      <c r="H44" s="104"/>
      <c r="J44" s="33" t="s">
        <v>127</v>
      </c>
      <c r="K44" s="34" t="s">
        <v>11</v>
      </c>
      <c r="L44" s="36" t="s">
        <v>11</v>
      </c>
      <c r="M44" s="14">
        <f t="shared" ref="M44:M45" si="0">M38*M41</f>
        <v>408432.5</v>
      </c>
      <c r="N44" s="36" t="s">
        <v>17</v>
      </c>
      <c r="O44" s="37"/>
    </row>
    <row r="45" spans="8:15" ht="15" thickBot="1">
      <c r="H45" s="104"/>
      <c r="J45" s="52" t="s">
        <v>121</v>
      </c>
      <c r="K45" s="53" t="s">
        <v>11</v>
      </c>
      <c r="L45" s="43" t="s">
        <v>11</v>
      </c>
      <c r="M45" s="14">
        <f t="shared" si="0"/>
        <v>46.784597797259138</v>
      </c>
      <c r="N45" s="14" t="s">
        <v>17</v>
      </c>
      <c r="O45" s="15"/>
    </row>
    <row r="46" spans="8:15" ht="15" thickBot="1">
      <c r="H46" s="104"/>
      <c r="J46" s="147" t="s">
        <v>128</v>
      </c>
      <c r="K46" s="148"/>
      <c r="L46" s="149"/>
      <c r="M46" s="11">
        <f>M43+M44+M45</f>
        <v>442432.48459779727</v>
      </c>
      <c r="N46" s="36" t="s">
        <v>17</v>
      </c>
      <c r="O46" s="15"/>
    </row>
    <row r="47" spans="8:15" ht="15" thickBot="1">
      <c r="H47" s="104"/>
      <c r="J47" s="187" t="s">
        <v>75</v>
      </c>
      <c r="K47" s="188"/>
      <c r="L47" s="189"/>
      <c r="M47" s="20">
        <f>M35+M46</f>
        <v>42123970.484597795</v>
      </c>
      <c r="N47" s="59" t="s">
        <v>17</v>
      </c>
      <c r="O47" s="22"/>
    </row>
    <row r="48" spans="8:15">
      <c r="H48" s="104"/>
    </row>
    <row r="49" spans="8:15" ht="15" thickBot="1">
      <c r="H49" s="104"/>
    </row>
    <row r="50" spans="8:15" ht="15" thickBot="1">
      <c r="H50" s="104"/>
      <c r="J50" s="113" t="s">
        <v>76</v>
      </c>
      <c r="K50" s="114"/>
      <c r="L50" s="114"/>
      <c r="M50" s="114"/>
      <c r="N50" s="114"/>
      <c r="O50" s="115"/>
    </row>
    <row r="51" spans="8:15" ht="15" thickBot="1">
      <c r="H51" s="104"/>
      <c r="J51" s="57"/>
      <c r="K51" s="64" t="s">
        <v>2</v>
      </c>
      <c r="L51" s="65" t="s">
        <v>21</v>
      </c>
      <c r="M51" s="65" t="s">
        <v>4</v>
      </c>
      <c r="N51" s="65" t="s">
        <v>5</v>
      </c>
      <c r="O51" s="66" t="s">
        <v>6</v>
      </c>
    </row>
    <row r="52" spans="8:15" ht="15" thickBot="1">
      <c r="H52" s="104"/>
      <c r="J52" s="139" t="s">
        <v>129</v>
      </c>
      <c r="K52" s="140"/>
      <c r="L52" s="140"/>
      <c r="M52" s="140"/>
      <c r="N52" s="140"/>
      <c r="O52" s="141"/>
    </row>
    <row r="53" spans="8:15">
      <c r="H53" s="104"/>
      <c r="J53" s="94" t="s">
        <v>130</v>
      </c>
      <c r="K53" s="93" t="s">
        <v>11</v>
      </c>
      <c r="L53" s="48" t="s">
        <v>131</v>
      </c>
      <c r="M53" s="100">
        <v>5.47E-3</v>
      </c>
      <c r="N53" s="87" t="s">
        <v>66</v>
      </c>
      <c r="O53" s="88" t="s">
        <v>11</v>
      </c>
    </row>
    <row r="54" spans="8:15" ht="15" thickBot="1">
      <c r="H54" s="104"/>
      <c r="J54" s="39" t="s">
        <v>132</v>
      </c>
      <c r="K54" s="53" t="s">
        <v>11</v>
      </c>
      <c r="L54" s="101" t="s">
        <v>30</v>
      </c>
      <c r="M54" s="99">
        <v>17067600</v>
      </c>
      <c r="N54" s="14" t="s">
        <v>71</v>
      </c>
      <c r="O54" s="15" t="s">
        <v>133</v>
      </c>
    </row>
    <row r="55" spans="8:15" ht="15" thickBot="1">
      <c r="H55" s="104"/>
      <c r="J55" s="136" t="s">
        <v>134</v>
      </c>
      <c r="K55" s="137"/>
      <c r="L55" s="138"/>
      <c r="M55" s="89">
        <f>M54*M53</f>
        <v>93359.771999999997</v>
      </c>
      <c r="N55" s="21" t="s">
        <v>17</v>
      </c>
      <c r="O55" s="22" t="s">
        <v>11</v>
      </c>
    </row>
    <row r="56" spans="8:15">
      <c r="H56" s="104"/>
    </row>
    <row r="57" spans="8:15" ht="15" thickBot="1">
      <c r="H57" s="104"/>
    </row>
    <row r="58" spans="8:15" ht="15" thickBot="1">
      <c r="H58" s="104"/>
      <c r="J58" s="133" t="s">
        <v>135</v>
      </c>
      <c r="K58" s="134"/>
      <c r="L58" s="134"/>
      <c r="M58" s="134"/>
      <c r="N58" s="134"/>
      <c r="O58" s="135"/>
    </row>
    <row r="59" spans="8:15" ht="15" thickBot="1">
      <c r="H59" s="104"/>
      <c r="J59" s="126"/>
      <c r="K59" s="25" t="s">
        <v>2</v>
      </c>
      <c r="L59" s="25" t="s">
        <v>21</v>
      </c>
      <c r="M59" s="25" t="s">
        <v>4</v>
      </c>
      <c r="N59" s="25" t="s">
        <v>5</v>
      </c>
      <c r="O59" s="26" t="s">
        <v>6</v>
      </c>
    </row>
    <row r="60" spans="8:15" ht="15" thickBot="1">
      <c r="H60" s="104"/>
      <c r="J60" s="130" t="s">
        <v>1</v>
      </c>
      <c r="K60" s="131"/>
      <c r="L60" s="131"/>
      <c r="M60" s="131"/>
      <c r="N60" s="131"/>
      <c r="O60" s="132"/>
    </row>
    <row r="61" spans="8:15">
      <c r="H61" s="104"/>
      <c r="J61" s="94" t="s">
        <v>136</v>
      </c>
      <c r="K61" s="6"/>
      <c r="L61" s="7"/>
      <c r="M61" s="69">
        <v>230700</v>
      </c>
      <c r="N61" s="7" t="s">
        <v>9</v>
      </c>
      <c r="O61" s="9"/>
    </row>
    <row r="62" spans="8:15">
      <c r="H62" s="104"/>
      <c r="J62" s="16" t="s">
        <v>137</v>
      </c>
      <c r="K62" s="11"/>
      <c r="L62" s="14"/>
      <c r="M62" s="13">
        <v>3753900</v>
      </c>
      <c r="N62" s="14" t="s">
        <v>9</v>
      </c>
      <c r="O62" s="15"/>
    </row>
    <row r="63" spans="8:15">
      <c r="H63" s="104"/>
      <c r="J63" s="16" t="s">
        <v>138</v>
      </c>
      <c r="K63" s="11"/>
      <c r="L63" s="14"/>
      <c r="M63" s="14">
        <f>M61/M62</f>
        <v>6.1456085670902265E-2</v>
      </c>
      <c r="N63" s="14" t="s">
        <v>11</v>
      </c>
      <c r="O63" s="15"/>
    </row>
    <row r="64" spans="8:15">
      <c r="H64" s="104"/>
      <c r="J64" s="16" t="s">
        <v>0</v>
      </c>
      <c r="K64" s="11"/>
      <c r="L64" s="14"/>
      <c r="M64" s="13">
        <v>12672100</v>
      </c>
      <c r="N64" s="14" t="s">
        <v>9</v>
      </c>
      <c r="O64" s="15"/>
    </row>
    <row r="65" spans="8:15">
      <c r="H65" s="104"/>
      <c r="J65" s="16" t="s">
        <v>139</v>
      </c>
      <c r="K65" s="11"/>
      <c r="L65" s="14"/>
      <c r="M65" s="17">
        <f>M64-(M64*M63)</f>
        <v>11893322.33676976</v>
      </c>
      <c r="N65" s="14" t="s">
        <v>9</v>
      </c>
      <c r="O65" s="15"/>
    </row>
    <row r="66" spans="8:15" ht="15" thickBot="1">
      <c r="H66" s="104"/>
      <c r="J66" s="19" t="s">
        <v>16</v>
      </c>
      <c r="K66" s="53"/>
      <c r="L66" s="43"/>
      <c r="M66" s="95">
        <v>22983400</v>
      </c>
      <c r="N66" s="43" t="s">
        <v>17</v>
      </c>
      <c r="O66" s="55"/>
    </row>
    <row r="67" spans="8:15" ht="15" thickBot="1">
      <c r="H67" s="104"/>
      <c r="J67" s="130" t="s">
        <v>140</v>
      </c>
      <c r="K67" s="131"/>
      <c r="L67" s="131"/>
      <c r="M67" s="131"/>
      <c r="N67" s="131"/>
      <c r="O67" s="132"/>
    </row>
    <row r="68" spans="8:15">
      <c r="H68" s="104"/>
      <c r="J68" s="94" t="s">
        <v>141</v>
      </c>
      <c r="K68" s="6"/>
      <c r="L68" s="7"/>
      <c r="M68" s="127">
        <f>86526907</f>
        <v>86526907</v>
      </c>
      <c r="N68" s="7" t="s">
        <v>9</v>
      </c>
      <c r="O68" s="9"/>
    </row>
    <row r="69" spans="8:15" ht="15" thickBot="1">
      <c r="H69" s="104"/>
      <c r="J69" s="19" t="s">
        <v>16</v>
      </c>
      <c r="K69" s="20"/>
      <c r="L69" s="21"/>
      <c r="M69" s="125">
        <f>376072260/8766*8000</f>
        <v>343209911.01984942</v>
      </c>
      <c r="N69" s="21" t="s">
        <v>17</v>
      </c>
      <c r="O69" s="22"/>
    </row>
    <row r="70" spans="8:15">
      <c r="H70" s="104"/>
    </row>
    <row r="71" spans="8:15">
      <c r="H71" s="104"/>
    </row>
    <row r="72" spans="8:15">
      <c r="H72" s="104"/>
      <c r="M72" s="82"/>
    </row>
    <row r="73" spans="8:15">
      <c r="H73" s="104"/>
    </row>
    <row r="74" spans="8:15">
      <c r="H74" s="104"/>
    </row>
  </sheetData>
  <mergeCells count="16">
    <mergeCell ref="A17:F17"/>
    <mergeCell ref="J1:O1"/>
    <mergeCell ref="J3:O3"/>
    <mergeCell ref="J7:O7"/>
    <mergeCell ref="J9:O9"/>
    <mergeCell ref="A15:C15"/>
    <mergeCell ref="J35:L35"/>
    <mergeCell ref="J46:L46"/>
    <mergeCell ref="J47:L47"/>
    <mergeCell ref="J36:O36"/>
    <mergeCell ref="A19:F19"/>
    <mergeCell ref="J21:L21"/>
    <mergeCell ref="A22:C22"/>
    <mergeCell ref="A23:F23"/>
    <mergeCell ref="J25:O25"/>
    <mergeCell ref="A28:C28"/>
  </mergeCells>
  <hyperlinks>
    <hyperlink ref="O21" r:id="rId1" location="v=onepage&amp;q=turton%20analysis%20synthesis%20third%20edition&amp;f=false" xr:uid="{9250C5AC-51BD-4B46-BE8A-9301E48B5577}"/>
    <hyperlink ref="L27" r:id="rId2" location="v=onepage&amp;q=turton%20analysis%20synthesis%20third%20edition&amp;f=false" xr:uid="{F5DC13F9-F231-46A8-8E42-3DC0D06E78F2}"/>
    <hyperlink ref="L37" r:id="rId3" location="v=onepage&amp;q=turton%20analysis%20synthesis%20third%20edition&amp;f=false" xr:uid="{66A68ADC-03A9-4FF5-A8A8-B9E94FCEC680}"/>
    <hyperlink ref="L53" r:id="rId4" xr:uid="{90398D76-DFF7-48CD-9DF4-B339EE6F56D8}"/>
    <hyperlink ref="C4" r:id="rId5" xr:uid="{4EAAD124-B428-4D86-8FCE-FB5144140869}"/>
    <hyperlink ref="C13" r:id="rId6" xr:uid="{80CFBE41-8FDA-4DE1-8DA7-42812AC983F7}"/>
    <hyperlink ref="C14" r:id="rId7" xr:uid="{CADAC492-160C-4557-9FE6-5D31E12C12ED}"/>
    <hyperlink ref="L28" r:id="rId8" xr:uid="{E226ABDE-CDCE-4E7D-932F-1CDCFEC272EC}"/>
    <hyperlink ref="L39" r:id="rId9" xr:uid="{4EF49AB9-E2D1-43C7-A2FB-20DFEC4944AA}"/>
    <hyperlink ref="C24" r:id="rId10" xr:uid="{47A87A73-C7D6-4D26-A75B-D4800A76E332}"/>
    <hyperlink ref="C25" r:id="rId11" xr:uid="{6916C59C-5418-4272-AB6F-7387323ABBA7}"/>
    <hyperlink ref="C20" r:id="rId12" xr:uid="{987C33F0-0D25-42C5-A325-25405C39B92E}"/>
    <hyperlink ref="L26" r:id="rId13" xr:uid="{474B7A04-342B-4CD4-9D0C-BD9F7A02DF8C}"/>
  </hyperlinks>
  <pageMargins left="0.7" right="0.7" top="0.75" bottom="0.75" header="0.3" footer="0.3"/>
  <pageSetup paperSize="9" orientation="portrait" r:id="rId1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CC3F2-4055-4494-AF18-BCA404D87D89}">
  <sheetPr>
    <tabColor theme="9" tint="0.59999389629810485"/>
  </sheetPr>
  <dimension ref="A1:O74"/>
  <sheetViews>
    <sheetView topLeftCell="A42" workbookViewId="0">
      <selection activeCell="M66" sqref="M66"/>
    </sheetView>
  </sheetViews>
  <sheetFormatPr defaultRowHeight="14.45"/>
  <cols>
    <col min="1" max="1" width="35.42578125" customWidth="1"/>
    <col min="4" max="4" width="10.140625" customWidth="1"/>
    <col min="6" max="6" width="26.5703125" customWidth="1"/>
    <col min="10" max="10" width="35.5703125" customWidth="1"/>
    <col min="13" max="13" width="12" bestFit="1" customWidth="1"/>
    <col min="15" max="15" width="59.5703125" customWidth="1"/>
  </cols>
  <sheetData>
    <row r="1" spans="1:15" ht="15" thickBot="1">
      <c r="A1" s="117" t="s">
        <v>95</v>
      </c>
      <c r="B1" s="117"/>
      <c r="C1" s="117"/>
      <c r="D1" s="117"/>
      <c r="E1" s="117"/>
      <c r="F1" s="117"/>
      <c r="H1" s="104"/>
      <c r="J1" s="150" t="s">
        <v>1</v>
      </c>
      <c r="K1" s="151"/>
      <c r="L1" s="151"/>
      <c r="M1" s="151"/>
      <c r="N1" s="151"/>
      <c r="O1" s="152"/>
    </row>
    <row r="2" spans="1:15" ht="15" thickBot="1">
      <c r="A2" s="14"/>
      <c r="B2" s="14" t="s">
        <v>2</v>
      </c>
      <c r="C2" s="14" t="s">
        <v>3</v>
      </c>
      <c r="D2" s="14" t="s">
        <v>4</v>
      </c>
      <c r="E2" s="14" t="s">
        <v>5</v>
      </c>
      <c r="F2" s="14" t="s">
        <v>6</v>
      </c>
      <c r="H2" s="104"/>
      <c r="J2" s="1"/>
      <c r="K2" s="2" t="s">
        <v>2</v>
      </c>
      <c r="L2" s="3" t="s">
        <v>3</v>
      </c>
      <c r="M2" s="3" t="s">
        <v>4</v>
      </c>
      <c r="N2" s="3" t="s">
        <v>5</v>
      </c>
      <c r="O2" s="4" t="s">
        <v>6</v>
      </c>
    </row>
    <row r="3" spans="1:15" ht="15" thickBot="1">
      <c r="A3" s="14" t="s">
        <v>7</v>
      </c>
      <c r="B3" s="14" t="s">
        <v>8</v>
      </c>
      <c r="C3" s="12" t="s">
        <v>1</v>
      </c>
      <c r="D3" s="17">
        <f>M4</f>
        <v>98420229.33676976</v>
      </c>
      <c r="E3" s="14" t="s">
        <v>9</v>
      </c>
      <c r="F3" s="14"/>
      <c r="H3" s="104"/>
      <c r="J3" s="204" t="s">
        <v>96</v>
      </c>
      <c r="K3" s="205"/>
      <c r="L3" s="205"/>
      <c r="M3" s="205"/>
      <c r="N3" s="205"/>
      <c r="O3" s="206"/>
    </row>
    <row r="4" spans="1:15">
      <c r="A4" s="14" t="s">
        <v>12</v>
      </c>
      <c r="B4" s="14" t="s">
        <v>13</v>
      </c>
      <c r="C4" s="46" t="s">
        <v>14</v>
      </c>
      <c r="D4" s="14">
        <v>0.1</v>
      </c>
      <c r="E4" s="14" t="s">
        <v>11</v>
      </c>
      <c r="F4" s="14" t="s">
        <v>15</v>
      </c>
      <c r="H4" s="104"/>
      <c r="J4" s="94" t="s">
        <v>10</v>
      </c>
      <c r="K4" s="6" t="s">
        <v>11</v>
      </c>
      <c r="L4" s="7" t="s">
        <v>11</v>
      </c>
      <c r="M4" s="8">
        <f>M62+M65</f>
        <v>98420229.33676976</v>
      </c>
      <c r="N4" s="7" t="s">
        <v>9</v>
      </c>
      <c r="O4" s="9"/>
    </row>
    <row r="5" spans="1:15" ht="15" thickBot="1">
      <c r="A5" s="116" t="s">
        <v>97</v>
      </c>
      <c r="B5" s="116"/>
      <c r="C5" s="116"/>
      <c r="D5" s="103">
        <f>D3*(1+D4)+'Carbon Capture - MEA'!D5</f>
        <v>119733932.27044675</v>
      </c>
      <c r="E5" s="14" t="s">
        <v>9</v>
      </c>
      <c r="F5" s="14" t="s">
        <v>142</v>
      </c>
      <c r="H5" s="104"/>
      <c r="J5" s="19" t="s">
        <v>16</v>
      </c>
      <c r="K5" s="20" t="s">
        <v>11</v>
      </c>
      <c r="L5" s="21" t="s">
        <v>11</v>
      </c>
      <c r="M5" s="21">
        <f>M63+M66</f>
        <v>366193311.01984942</v>
      </c>
      <c r="N5" s="21" t="s">
        <v>17</v>
      </c>
      <c r="O5" s="22"/>
    </row>
    <row r="6" spans="1:15" ht="15" thickBot="1">
      <c r="H6" s="104"/>
    </row>
    <row r="7" spans="1:15" ht="15" thickBot="1">
      <c r="A7" s="118" t="s">
        <v>98</v>
      </c>
      <c r="B7" s="119"/>
      <c r="C7" s="119"/>
      <c r="D7" s="119"/>
      <c r="E7" s="119"/>
      <c r="F7" s="120"/>
      <c r="H7" s="104"/>
      <c r="J7" s="207" t="s">
        <v>19</v>
      </c>
      <c r="K7" s="208"/>
      <c r="L7" s="208"/>
      <c r="M7" s="208"/>
      <c r="N7" s="208"/>
      <c r="O7" s="209"/>
    </row>
    <row r="8" spans="1:15" ht="15" thickBot="1">
      <c r="A8" s="14"/>
      <c r="B8" s="14" t="s">
        <v>2</v>
      </c>
      <c r="C8" s="14" t="s">
        <v>22</v>
      </c>
      <c r="D8" s="14" t="s">
        <v>4</v>
      </c>
      <c r="E8" s="14" t="s">
        <v>5</v>
      </c>
      <c r="F8" s="14" t="s">
        <v>6</v>
      </c>
      <c r="H8" s="104"/>
      <c r="J8" s="83"/>
      <c r="K8" s="84" t="s">
        <v>2</v>
      </c>
      <c r="L8" s="85" t="s">
        <v>21</v>
      </c>
      <c r="M8" s="85" t="s">
        <v>4</v>
      </c>
      <c r="N8" s="85" t="s">
        <v>5</v>
      </c>
      <c r="O8" s="86" t="s">
        <v>6</v>
      </c>
    </row>
    <row r="9" spans="1:15" ht="15" thickBot="1">
      <c r="A9" s="14" t="s">
        <v>26</v>
      </c>
      <c r="B9" s="14" t="s">
        <v>27</v>
      </c>
      <c r="C9" s="74" t="s">
        <v>28</v>
      </c>
      <c r="D9" s="17">
        <f>M21</f>
        <v>2795643.632654205</v>
      </c>
      <c r="E9" s="14" t="s">
        <v>17</v>
      </c>
      <c r="F9" s="14"/>
      <c r="H9" s="104"/>
      <c r="J9" s="204" t="s">
        <v>99</v>
      </c>
      <c r="K9" s="205"/>
      <c r="L9" s="205"/>
      <c r="M9" s="205"/>
      <c r="N9" s="205"/>
      <c r="O9" s="206"/>
    </row>
    <row r="10" spans="1:15">
      <c r="A10" s="14" t="s">
        <v>31</v>
      </c>
      <c r="B10" s="14" t="s">
        <v>32</v>
      </c>
      <c r="C10" s="12" t="s">
        <v>1</v>
      </c>
      <c r="D10" s="14">
        <f>M5</f>
        <v>366193311.01984942</v>
      </c>
      <c r="E10" s="14" t="s">
        <v>17</v>
      </c>
      <c r="F10" s="14"/>
      <c r="H10" s="104"/>
      <c r="J10" s="94" t="s">
        <v>23</v>
      </c>
      <c r="K10" s="93" t="s">
        <v>24</v>
      </c>
      <c r="L10" s="87" t="s">
        <v>25</v>
      </c>
      <c r="M10" s="91">
        <f>(6.29+31.7*M19^2+0.23*M16)^0.5</f>
        <v>11.743934604722559</v>
      </c>
      <c r="N10" s="87" t="s">
        <v>11</v>
      </c>
      <c r="O10" s="88"/>
    </row>
    <row r="11" spans="1:15">
      <c r="A11" s="14" t="s">
        <v>34</v>
      </c>
      <c r="B11" s="14" t="s">
        <v>35</v>
      </c>
      <c r="C11" s="75" t="s">
        <v>36</v>
      </c>
      <c r="D11" s="14">
        <f>M44</f>
        <v>631938.48459779727</v>
      </c>
      <c r="E11" s="14" t="s">
        <v>17</v>
      </c>
      <c r="F11" s="14"/>
      <c r="H11" s="104"/>
      <c r="J11" s="10" t="s">
        <v>29</v>
      </c>
      <c r="K11" s="11" t="s">
        <v>11</v>
      </c>
      <c r="L11" s="12" t="s">
        <v>30</v>
      </c>
      <c r="M11" s="13">
        <v>3</v>
      </c>
      <c r="N11" s="14" t="s">
        <v>11</v>
      </c>
      <c r="O11" s="15"/>
    </row>
    <row r="12" spans="1:15">
      <c r="A12" s="14" t="s">
        <v>38</v>
      </c>
      <c r="B12" s="14" t="s">
        <v>39</v>
      </c>
      <c r="C12" s="76" t="s">
        <v>40</v>
      </c>
      <c r="D12" s="17">
        <v>0</v>
      </c>
      <c r="E12" s="14" t="s">
        <v>17</v>
      </c>
      <c r="F12" s="14" t="s">
        <v>100</v>
      </c>
      <c r="H12" s="104"/>
      <c r="J12" s="10" t="s">
        <v>33</v>
      </c>
      <c r="K12" s="11" t="s">
        <v>11</v>
      </c>
      <c r="L12" s="12" t="s">
        <v>30</v>
      </c>
      <c r="M12" s="13">
        <v>7</v>
      </c>
      <c r="N12" s="14" t="s">
        <v>11</v>
      </c>
      <c r="O12" s="15"/>
    </row>
    <row r="13" spans="1:15">
      <c r="A13" s="14" t="s">
        <v>42</v>
      </c>
      <c r="B13" s="14" t="s">
        <v>43</v>
      </c>
      <c r="C13" s="46" t="s">
        <v>14</v>
      </c>
      <c r="D13" s="14">
        <f>0.05*D5</f>
        <v>5986696.6135223377</v>
      </c>
      <c r="E13" s="14" t="s">
        <v>17</v>
      </c>
      <c r="F13" s="14" t="s">
        <v>44</v>
      </c>
      <c r="H13" s="104"/>
      <c r="J13" s="10" t="s">
        <v>37</v>
      </c>
      <c r="K13" s="11" t="s">
        <v>11</v>
      </c>
      <c r="L13" s="12" t="s">
        <v>30</v>
      </c>
      <c r="M13" s="13">
        <v>2</v>
      </c>
      <c r="N13" s="14" t="s">
        <v>11</v>
      </c>
      <c r="O13" s="15"/>
    </row>
    <row r="14" spans="1:15">
      <c r="A14" s="14" t="s">
        <v>46</v>
      </c>
      <c r="B14" s="14" t="s">
        <v>47</v>
      </c>
      <c r="C14" s="46" t="s">
        <v>14</v>
      </c>
      <c r="D14" s="14">
        <f>0.1*D5</f>
        <v>11973393.227044675</v>
      </c>
      <c r="E14" s="14" t="s">
        <v>17</v>
      </c>
      <c r="F14" s="14" t="s">
        <v>48</v>
      </c>
      <c r="H14" s="104"/>
      <c r="J14" s="10" t="s">
        <v>41</v>
      </c>
      <c r="K14" s="11" t="s">
        <v>11</v>
      </c>
      <c r="L14" s="12" t="s">
        <v>30</v>
      </c>
      <c r="M14" s="13">
        <v>9</v>
      </c>
      <c r="N14" s="14" t="s">
        <v>11</v>
      </c>
      <c r="O14" s="15"/>
    </row>
    <row r="15" spans="1:15">
      <c r="A15" s="210" t="s">
        <v>101</v>
      </c>
      <c r="B15" s="210"/>
      <c r="C15" s="210"/>
      <c r="D15" s="102">
        <f>SUM(D9:D14)+'Carbon Capture - MEA'!D15</f>
        <v>395298276.77811533</v>
      </c>
      <c r="E15" s="14" t="s">
        <v>17</v>
      </c>
      <c r="F15" s="14" t="s">
        <v>143</v>
      </c>
      <c r="H15" s="104"/>
      <c r="J15" s="10" t="s">
        <v>45</v>
      </c>
      <c r="K15" s="11" t="s">
        <v>11</v>
      </c>
      <c r="L15" s="12" t="s">
        <v>30</v>
      </c>
      <c r="M15" s="13">
        <v>0</v>
      </c>
      <c r="N15" s="14" t="s">
        <v>11</v>
      </c>
      <c r="O15" s="15"/>
    </row>
    <row r="16" spans="1:15">
      <c r="H16" s="104"/>
      <c r="J16" s="16" t="s">
        <v>49</v>
      </c>
      <c r="K16" s="11" t="s">
        <v>50</v>
      </c>
      <c r="L16" s="14" t="s">
        <v>11</v>
      </c>
      <c r="M16" s="17">
        <f>SUM(M11:M15)</f>
        <v>21</v>
      </c>
      <c r="N16" s="14" t="s">
        <v>11</v>
      </c>
      <c r="O16" s="15"/>
    </row>
    <row r="17" spans="1:15">
      <c r="A17" s="203" t="s">
        <v>102</v>
      </c>
      <c r="B17" s="203"/>
      <c r="C17" s="203"/>
      <c r="D17" s="203"/>
      <c r="E17" s="203"/>
      <c r="F17" s="203"/>
      <c r="H17" s="104"/>
      <c r="J17" s="16" t="s">
        <v>52</v>
      </c>
      <c r="K17" s="11" t="s">
        <v>11</v>
      </c>
      <c r="L17" s="14" t="s">
        <v>11</v>
      </c>
      <c r="M17" s="18">
        <v>4.5</v>
      </c>
      <c r="N17" s="14" t="s">
        <v>11</v>
      </c>
      <c r="O17" s="15"/>
    </row>
    <row r="18" spans="1:15">
      <c r="A18" s="14"/>
      <c r="B18" s="14" t="s">
        <v>2</v>
      </c>
      <c r="C18" s="14" t="s">
        <v>3</v>
      </c>
      <c r="D18" s="14" t="s">
        <v>4</v>
      </c>
      <c r="E18" s="14" t="s">
        <v>5</v>
      </c>
      <c r="F18" s="14" t="s">
        <v>6</v>
      </c>
      <c r="H18" s="104"/>
      <c r="J18" s="16" t="s">
        <v>53</v>
      </c>
      <c r="K18" s="11" t="s">
        <v>54</v>
      </c>
      <c r="L18" s="14" t="s">
        <v>11</v>
      </c>
      <c r="M18" s="17">
        <f>M17*M10</f>
        <v>52.847705721251515</v>
      </c>
      <c r="N18" s="14" t="s">
        <v>11</v>
      </c>
      <c r="O18" s="15"/>
    </row>
    <row r="19" spans="1:15">
      <c r="A19" s="193" t="s">
        <v>103</v>
      </c>
      <c r="B19" s="193"/>
      <c r="C19" s="193"/>
      <c r="D19" s="193"/>
      <c r="E19" s="193"/>
      <c r="F19" s="193"/>
      <c r="H19" s="104"/>
      <c r="J19" s="16" t="s">
        <v>55</v>
      </c>
      <c r="K19" s="11" t="s">
        <v>56</v>
      </c>
      <c r="L19" s="12" t="s">
        <v>30</v>
      </c>
      <c r="M19" s="13">
        <v>2</v>
      </c>
      <c r="N19" s="14" t="s">
        <v>11</v>
      </c>
      <c r="O19" s="15" t="s">
        <v>57</v>
      </c>
    </row>
    <row r="20" spans="1:15" ht="15" thickBot="1">
      <c r="A20" s="14" t="s">
        <v>104</v>
      </c>
      <c r="B20" s="14" t="s">
        <v>11</v>
      </c>
      <c r="C20" s="46" t="s">
        <v>105</v>
      </c>
      <c r="D20" s="14">
        <v>0.68</v>
      </c>
      <c r="E20" s="14" t="s">
        <v>66</v>
      </c>
      <c r="F20" s="14"/>
      <c r="H20" s="104"/>
      <c r="J20" s="19" t="s">
        <v>58</v>
      </c>
      <c r="K20" s="53" t="s">
        <v>59</v>
      </c>
      <c r="L20" s="43" t="s">
        <v>11</v>
      </c>
      <c r="M20" s="18">
        <v>52900</v>
      </c>
      <c r="N20" s="14" t="s">
        <v>17</v>
      </c>
      <c r="O20" s="15"/>
    </row>
    <row r="21" spans="1:15" ht="14.1" customHeight="1" thickBot="1">
      <c r="A21" s="14" t="s">
        <v>106</v>
      </c>
      <c r="B21" s="14" t="s">
        <v>11</v>
      </c>
      <c r="C21" s="12" t="s">
        <v>1</v>
      </c>
      <c r="D21" s="13">
        <v>7173020</v>
      </c>
      <c r="E21" s="14" t="s">
        <v>71</v>
      </c>
      <c r="F21" s="14"/>
      <c r="H21" s="104"/>
      <c r="J21" s="175" t="s">
        <v>107</v>
      </c>
      <c r="K21" s="176"/>
      <c r="L21" s="177"/>
      <c r="M21" s="89">
        <f>M18*M20</f>
        <v>2795643.632654205</v>
      </c>
      <c r="N21" s="21" t="s">
        <v>17</v>
      </c>
      <c r="O21" s="92" t="s">
        <v>61</v>
      </c>
    </row>
    <row r="22" spans="1:15" ht="15" thickBot="1">
      <c r="A22" s="194" t="s">
        <v>108</v>
      </c>
      <c r="B22" s="195"/>
      <c r="C22" s="196"/>
      <c r="D22" s="14">
        <f>D21*D20</f>
        <v>4877653.6000000006</v>
      </c>
      <c r="E22" s="14" t="s">
        <v>17</v>
      </c>
      <c r="F22" s="14"/>
      <c r="H22" s="104"/>
      <c r="J22" s="124"/>
      <c r="K22" s="124"/>
      <c r="L22" s="124"/>
      <c r="M22" s="82"/>
    </row>
    <row r="23" spans="1:15" ht="15" thickBot="1">
      <c r="A23" s="193" t="s">
        <v>96</v>
      </c>
      <c r="B23" s="193"/>
      <c r="C23" s="193"/>
      <c r="D23" s="193"/>
      <c r="E23" s="193"/>
      <c r="F23" s="193"/>
      <c r="H23" s="104"/>
      <c r="J23" s="110" t="s">
        <v>62</v>
      </c>
      <c r="K23" s="111"/>
      <c r="L23" s="111"/>
      <c r="M23" s="111"/>
      <c r="N23" s="111"/>
      <c r="O23" s="112"/>
    </row>
    <row r="24" spans="1:15" ht="15" thickBot="1">
      <c r="A24" s="14" t="s">
        <v>109</v>
      </c>
      <c r="B24" s="14" t="s">
        <v>11</v>
      </c>
      <c r="C24" s="46" t="s">
        <v>110</v>
      </c>
      <c r="D24" s="14">
        <v>0.37</v>
      </c>
      <c r="E24" s="14" t="s">
        <v>66</v>
      </c>
      <c r="F24" s="14"/>
      <c r="H24" s="104"/>
      <c r="J24" s="23"/>
      <c r="K24" s="24" t="s">
        <v>2</v>
      </c>
      <c r="L24" s="25" t="s">
        <v>21</v>
      </c>
      <c r="M24" s="25" t="s">
        <v>4</v>
      </c>
      <c r="N24" s="25" t="s">
        <v>5</v>
      </c>
      <c r="O24" s="26" t="s">
        <v>6</v>
      </c>
    </row>
    <row r="25" spans="1:15" ht="15" thickBot="1">
      <c r="A25" s="14" t="s">
        <v>104</v>
      </c>
      <c r="B25" s="14" t="s">
        <v>11</v>
      </c>
      <c r="C25" s="46" t="s">
        <v>105</v>
      </c>
      <c r="D25" s="14">
        <v>0.68</v>
      </c>
      <c r="E25" s="14" t="s">
        <v>66</v>
      </c>
      <c r="F25" s="14"/>
      <c r="H25" s="104"/>
      <c r="J25" s="190" t="s">
        <v>103</v>
      </c>
      <c r="K25" s="191"/>
      <c r="L25" s="191"/>
      <c r="M25" s="191"/>
      <c r="N25" s="191"/>
      <c r="O25" s="192"/>
    </row>
    <row r="26" spans="1:15">
      <c r="A26" s="14" t="s">
        <v>111</v>
      </c>
      <c r="B26" s="14" t="s">
        <v>11</v>
      </c>
      <c r="C26" s="12" t="s">
        <v>1</v>
      </c>
      <c r="D26" s="13">
        <v>47797200</v>
      </c>
      <c r="E26" s="14" t="s">
        <v>71</v>
      </c>
      <c r="F26" s="14"/>
      <c r="H26" s="104"/>
      <c r="J26" s="27" t="s">
        <v>67</v>
      </c>
      <c r="K26" s="51" t="s">
        <v>11</v>
      </c>
      <c r="L26" s="97" t="s">
        <v>68</v>
      </c>
      <c r="M26" s="49">
        <v>1E-3</v>
      </c>
      <c r="N26" s="47" t="s">
        <v>66</v>
      </c>
      <c r="O26" s="50" t="s">
        <v>69</v>
      </c>
    </row>
    <row r="27" spans="1:15">
      <c r="A27" s="14" t="s">
        <v>106</v>
      </c>
      <c r="B27" s="14" t="s">
        <v>11</v>
      </c>
      <c r="C27" s="12" t="s">
        <v>1</v>
      </c>
      <c r="D27" s="13">
        <v>4519000</v>
      </c>
      <c r="E27" s="14" t="s">
        <v>71</v>
      </c>
      <c r="F27" s="14"/>
      <c r="H27" s="104"/>
      <c r="J27" s="16" t="s">
        <v>116</v>
      </c>
      <c r="K27" s="11" t="s">
        <v>11</v>
      </c>
      <c r="L27" s="46" t="s">
        <v>117</v>
      </c>
      <c r="M27" s="98">
        <v>141</v>
      </c>
      <c r="N27" s="14" t="s">
        <v>66</v>
      </c>
      <c r="O27" s="15"/>
    </row>
    <row r="28" spans="1:15">
      <c r="A28" s="200" t="s">
        <v>114</v>
      </c>
      <c r="B28" s="201"/>
      <c r="C28" s="202"/>
      <c r="D28" s="103">
        <f>D24*D26+D25*D27</f>
        <v>20757884</v>
      </c>
      <c r="E28" s="14" t="s">
        <v>17</v>
      </c>
      <c r="F28" s="14" t="s">
        <v>115</v>
      </c>
      <c r="H28" s="104"/>
      <c r="J28" s="33" t="s">
        <v>72</v>
      </c>
      <c r="K28" s="34" t="s">
        <v>11</v>
      </c>
      <c r="L28" s="78" t="s">
        <v>1</v>
      </c>
      <c r="M28" s="38">
        <v>189506000</v>
      </c>
      <c r="N28" s="36" t="s">
        <v>71</v>
      </c>
      <c r="O28" s="37"/>
    </row>
    <row r="29" spans="1:15">
      <c r="D29" s="82"/>
      <c r="H29" s="104"/>
      <c r="J29" s="33" t="s">
        <v>119</v>
      </c>
      <c r="K29" s="11" t="s">
        <v>11</v>
      </c>
      <c r="L29" s="78" t="s">
        <v>1</v>
      </c>
      <c r="M29" s="38">
        <v>0</v>
      </c>
      <c r="N29" s="14" t="s">
        <v>71</v>
      </c>
      <c r="O29" s="15"/>
    </row>
    <row r="30" spans="1:15">
      <c r="H30" s="104"/>
      <c r="J30" s="33" t="s">
        <v>74</v>
      </c>
      <c r="K30" s="34" t="s">
        <v>11</v>
      </c>
      <c r="L30" s="36" t="s">
        <v>11</v>
      </c>
      <c r="M30" s="36">
        <f>M26*M28</f>
        <v>189506</v>
      </c>
      <c r="N30" s="36" t="s">
        <v>17</v>
      </c>
      <c r="O30" s="37"/>
    </row>
    <row r="31" spans="1:15" ht="15" thickBot="1">
      <c r="H31" s="104"/>
      <c r="J31" s="40" t="s">
        <v>121</v>
      </c>
      <c r="K31" s="53" t="s">
        <v>11</v>
      </c>
      <c r="L31" s="43" t="s">
        <v>11</v>
      </c>
      <c r="M31" s="36">
        <f>M27*M29</f>
        <v>0</v>
      </c>
      <c r="N31" s="14" t="s">
        <v>17</v>
      </c>
      <c r="O31" s="15"/>
    </row>
    <row r="32" spans="1:15" ht="15" thickBot="1">
      <c r="D32" s="82"/>
      <c r="H32" s="104"/>
      <c r="J32" s="147" t="s">
        <v>122</v>
      </c>
      <c r="K32" s="148"/>
      <c r="L32" s="149"/>
      <c r="M32" s="53">
        <f>M30+M31</f>
        <v>189506</v>
      </c>
      <c r="N32" s="42" t="s">
        <v>17</v>
      </c>
      <c r="O32" s="55"/>
    </row>
    <row r="33" spans="4:15" ht="15" thickBot="1">
      <c r="D33" s="82"/>
      <c r="H33" s="104"/>
      <c r="J33" s="121" t="s">
        <v>96</v>
      </c>
      <c r="K33" s="122"/>
      <c r="L33" s="122"/>
      <c r="M33" s="122"/>
      <c r="N33" s="122"/>
      <c r="O33" s="123"/>
    </row>
    <row r="34" spans="4:15">
      <c r="H34" s="104"/>
      <c r="J34" s="27" t="s">
        <v>67</v>
      </c>
      <c r="K34" s="51" t="s">
        <v>11</v>
      </c>
      <c r="L34" s="97" t="s">
        <v>68</v>
      </c>
      <c r="M34" s="49">
        <v>1E-3</v>
      </c>
      <c r="N34" s="47" t="s">
        <v>66</v>
      </c>
      <c r="O34" s="50" t="s">
        <v>69</v>
      </c>
    </row>
    <row r="35" spans="4:15">
      <c r="H35" s="104"/>
      <c r="J35" s="33" t="s">
        <v>86</v>
      </c>
      <c r="K35" s="11" t="s">
        <v>11</v>
      </c>
      <c r="L35" s="14" t="s">
        <v>68</v>
      </c>
      <c r="M35" s="80">
        <v>3.5000000000000001E-3</v>
      </c>
      <c r="N35" s="14" t="s">
        <v>87</v>
      </c>
      <c r="O35" s="15"/>
    </row>
    <row r="36" spans="4:15">
      <c r="H36" s="104"/>
      <c r="J36" s="33" t="s">
        <v>123</v>
      </c>
      <c r="K36" s="11" t="s">
        <v>11</v>
      </c>
      <c r="L36" s="46" t="s">
        <v>124</v>
      </c>
      <c r="M36" s="80">
        <v>0.32</v>
      </c>
      <c r="N36" s="14" t="s">
        <v>66</v>
      </c>
      <c r="O36" s="15"/>
    </row>
    <row r="37" spans="4:15">
      <c r="H37" s="104"/>
      <c r="J37" s="33" t="s">
        <v>72</v>
      </c>
      <c r="K37" s="11" t="s">
        <v>11</v>
      </c>
      <c r="L37" s="78" t="s">
        <v>1</v>
      </c>
      <c r="M37" s="38">
        <v>33953200</v>
      </c>
      <c r="N37" s="14" t="s">
        <v>71</v>
      </c>
      <c r="O37" s="15"/>
    </row>
    <row r="38" spans="4:15">
      <c r="H38" s="104"/>
      <c r="J38" s="33" t="s">
        <v>125</v>
      </c>
      <c r="K38" s="11" t="s">
        <v>11</v>
      </c>
      <c r="L38" s="78" t="s">
        <v>1</v>
      </c>
      <c r="M38" s="38">
        <v>116695000</v>
      </c>
      <c r="N38" s="14" t="s">
        <v>91</v>
      </c>
      <c r="O38" s="15"/>
    </row>
    <row r="39" spans="4:15" ht="101.45">
      <c r="H39" s="104"/>
      <c r="J39" s="33" t="s">
        <v>119</v>
      </c>
      <c r="K39" s="11" t="s">
        <v>11</v>
      </c>
      <c r="L39" s="78" t="s">
        <v>1</v>
      </c>
      <c r="M39" s="38">
        <f>2*2*36.5504670291087</f>
        <v>146.20186811643481</v>
      </c>
      <c r="N39" s="14" t="s">
        <v>71</v>
      </c>
      <c r="O39" s="129" t="s">
        <v>126</v>
      </c>
    </row>
    <row r="40" spans="4:15">
      <c r="H40" s="104"/>
      <c r="J40" s="33" t="s">
        <v>74</v>
      </c>
      <c r="K40" s="34" t="s">
        <v>11</v>
      </c>
      <c r="L40" s="14" t="s">
        <v>11</v>
      </c>
      <c r="M40" s="14">
        <f>M34*M37</f>
        <v>33953.199999999997</v>
      </c>
      <c r="N40" s="36" t="s">
        <v>17</v>
      </c>
      <c r="O40" s="37"/>
    </row>
    <row r="41" spans="4:15">
      <c r="H41" s="104"/>
      <c r="J41" s="33" t="s">
        <v>127</v>
      </c>
      <c r="K41" s="34" t="s">
        <v>11</v>
      </c>
      <c r="L41" s="36" t="s">
        <v>11</v>
      </c>
      <c r="M41" s="14">
        <f t="shared" ref="M41:M42" si="0">M35*M38</f>
        <v>408432.5</v>
      </c>
      <c r="N41" s="36" t="s">
        <v>17</v>
      </c>
      <c r="O41" s="37"/>
    </row>
    <row r="42" spans="4:15" ht="15" thickBot="1">
      <c r="H42" s="104"/>
      <c r="J42" s="40" t="s">
        <v>121</v>
      </c>
      <c r="K42" s="53" t="s">
        <v>11</v>
      </c>
      <c r="L42" s="43" t="s">
        <v>11</v>
      </c>
      <c r="M42" s="14">
        <f t="shared" si="0"/>
        <v>46.784597797259138</v>
      </c>
      <c r="N42" s="14" t="s">
        <v>17</v>
      </c>
      <c r="O42" s="15"/>
    </row>
    <row r="43" spans="4:15" ht="15" thickBot="1">
      <c r="H43" s="104"/>
      <c r="J43" s="147" t="s">
        <v>128</v>
      </c>
      <c r="K43" s="148"/>
      <c r="L43" s="149"/>
      <c r="M43" s="20">
        <f>M40+M41+M42</f>
        <v>442432.48459779727</v>
      </c>
      <c r="N43" s="59" t="s">
        <v>17</v>
      </c>
      <c r="O43" s="22"/>
    </row>
    <row r="44" spans="4:15" ht="15" thickBot="1">
      <c r="H44" s="104"/>
      <c r="J44" s="187" t="s">
        <v>75</v>
      </c>
      <c r="K44" s="188"/>
      <c r="L44" s="189"/>
      <c r="M44" s="1">
        <f>M32+M43</f>
        <v>631938.48459779727</v>
      </c>
      <c r="N44" s="57" t="s">
        <v>17</v>
      </c>
      <c r="O44" s="45"/>
    </row>
    <row r="45" spans="4:15">
      <c r="H45" s="104"/>
    </row>
    <row r="46" spans="4:15" ht="15" thickBot="1">
      <c r="H46" s="104"/>
    </row>
    <row r="47" spans="4:15" ht="15" thickBot="1">
      <c r="H47" s="104"/>
      <c r="J47" s="178" t="s">
        <v>76</v>
      </c>
      <c r="K47" s="179"/>
      <c r="L47" s="179"/>
      <c r="M47" s="179"/>
      <c r="N47" s="179"/>
      <c r="O47" s="180"/>
    </row>
    <row r="48" spans="4:15" ht="15" thickBot="1">
      <c r="H48" s="104"/>
      <c r="J48" s="57"/>
      <c r="K48" s="64" t="s">
        <v>2</v>
      </c>
      <c r="L48" s="65" t="s">
        <v>21</v>
      </c>
      <c r="M48" s="65" t="s">
        <v>4</v>
      </c>
      <c r="N48" s="65" t="s">
        <v>5</v>
      </c>
      <c r="O48" s="66" t="s">
        <v>6</v>
      </c>
    </row>
    <row r="49" spans="8:15" ht="15" thickBot="1">
      <c r="H49" s="104"/>
      <c r="J49" s="217" t="s">
        <v>129</v>
      </c>
      <c r="K49" s="218"/>
      <c r="L49" s="218"/>
      <c r="M49" s="218"/>
      <c r="N49" s="218"/>
      <c r="O49" s="219"/>
    </row>
    <row r="50" spans="8:15">
      <c r="H50" s="104"/>
      <c r="J50" s="94" t="s">
        <v>130</v>
      </c>
      <c r="K50" s="93" t="s">
        <v>11</v>
      </c>
      <c r="L50" s="48" t="s">
        <v>131</v>
      </c>
      <c r="M50" s="100">
        <v>5.47E-3</v>
      </c>
      <c r="N50" s="87" t="s">
        <v>66</v>
      </c>
      <c r="O50" s="88" t="s">
        <v>11</v>
      </c>
    </row>
    <row r="51" spans="8:15" ht="15" thickBot="1">
      <c r="H51" s="104"/>
      <c r="J51" s="39" t="s">
        <v>132</v>
      </c>
      <c r="K51" s="53" t="s">
        <v>11</v>
      </c>
      <c r="L51" s="101" t="s">
        <v>30</v>
      </c>
      <c r="M51" s="99">
        <v>17067600</v>
      </c>
      <c r="N51" s="14" t="s">
        <v>71</v>
      </c>
      <c r="O51" s="15" t="s">
        <v>133</v>
      </c>
    </row>
    <row r="52" spans="8:15" ht="15" thickBot="1">
      <c r="H52" s="104"/>
      <c r="J52" s="214" t="s">
        <v>134</v>
      </c>
      <c r="K52" s="215"/>
      <c r="L52" s="216"/>
      <c r="M52" s="89">
        <f>M51*M50</f>
        <v>93359.771999999997</v>
      </c>
      <c r="N52" s="21" t="s">
        <v>17</v>
      </c>
      <c r="O52" s="22" t="s">
        <v>11</v>
      </c>
    </row>
    <row r="53" spans="8:15">
      <c r="H53" s="104"/>
    </row>
    <row r="54" spans="8:15" ht="15" thickBot="1">
      <c r="H54" s="104"/>
    </row>
    <row r="55" spans="8:15" ht="15" thickBot="1">
      <c r="H55" s="104"/>
      <c r="J55" s="211" t="s">
        <v>135</v>
      </c>
      <c r="K55" s="212"/>
      <c r="L55" s="212"/>
      <c r="M55" s="212"/>
      <c r="N55" s="212"/>
      <c r="O55" s="213"/>
    </row>
    <row r="56" spans="8:15" ht="15" thickBot="1">
      <c r="H56" s="104"/>
      <c r="J56" s="126"/>
      <c r="K56" s="25" t="s">
        <v>2</v>
      </c>
      <c r="L56" s="25" t="s">
        <v>21</v>
      </c>
      <c r="M56" s="25" t="s">
        <v>4</v>
      </c>
      <c r="N56" s="25" t="s">
        <v>5</v>
      </c>
      <c r="O56" s="26" t="s">
        <v>6</v>
      </c>
    </row>
    <row r="57" spans="8:15" ht="15" thickBot="1">
      <c r="H57" s="104"/>
      <c r="J57" s="204" t="s">
        <v>1</v>
      </c>
      <c r="K57" s="205"/>
      <c r="L57" s="205"/>
      <c r="M57" s="205"/>
      <c r="N57" s="205"/>
      <c r="O57" s="206"/>
    </row>
    <row r="58" spans="8:15">
      <c r="H58" s="104"/>
      <c r="J58" s="94" t="s">
        <v>136</v>
      </c>
      <c r="K58" s="6"/>
      <c r="L58" s="7"/>
      <c r="M58" s="69">
        <v>230700</v>
      </c>
      <c r="N58" s="7" t="s">
        <v>9</v>
      </c>
      <c r="O58" s="9"/>
    </row>
    <row r="59" spans="8:15">
      <c r="H59" s="104"/>
      <c r="J59" s="16" t="s">
        <v>137</v>
      </c>
      <c r="K59" s="11"/>
      <c r="L59" s="14"/>
      <c r="M59" s="13">
        <v>3753900</v>
      </c>
      <c r="N59" s="14" t="s">
        <v>9</v>
      </c>
      <c r="O59" s="15"/>
    </row>
    <row r="60" spans="8:15">
      <c r="H60" s="104"/>
      <c r="J60" s="16" t="s">
        <v>138</v>
      </c>
      <c r="K60" s="11"/>
      <c r="L60" s="14"/>
      <c r="M60" s="14">
        <f>M58/M59</f>
        <v>6.1456085670902265E-2</v>
      </c>
      <c r="N60" s="14" t="s">
        <v>11</v>
      </c>
      <c r="O60" s="15"/>
    </row>
    <row r="61" spans="8:15">
      <c r="H61" s="104"/>
      <c r="J61" s="16" t="s">
        <v>0</v>
      </c>
      <c r="K61" s="11"/>
      <c r="L61" s="14"/>
      <c r="M61" s="13">
        <v>12672100</v>
      </c>
      <c r="N61" s="14" t="s">
        <v>9</v>
      </c>
      <c r="O61" s="15"/>
    </row>
    <row r="62" spans="8:15">
      <c r="H62" s="104"/>
      <c r="J62" s="16" t="s">
        <v>139</v>
      </c>
      <c r="K62" s="11"/>
      <c r="L62" s="14"/>
      <c r="M62" s="17">
        <f>M61-(M61*M60)</f>
        <v>11893322.33676976</v>
      </c>
      <c r="N62" s="14" t="s">
        <v>9</v>
      </c>
      <c r="O62" s="15"/>
    </row>
    <row r="63" spans="8:15" ht="15" thickBot="1">
      <c r="H63" s="104"/>
      <c r="J63" s="19" t="s">
        <v>16</v>
      </c>
      <c r="K63" s="53"/>
      <c r="L63" s="43"/>
      <c r="M63" s="95">
        <v>22983400</v>
      </c>
      <c r="N63" s="43" t="s">
        <v>17</v>
      </c>
      <c r="O63" s="55"/>
    </row>
    <row r="64" spans="8:15" ht="15" thickBot="1">
      <c r="H64" s="104"/>
      <c r="J64" s="204" t="s">
        <v>140</v>
      </c>
      <c r="K64" s="205"/>
      <c r="L64" s="205"/>
      <c r="M64" s="205"/>
      <c r="N64" s="205"/>
      <c r="O64" s="206"/>
    </row>
    <row r="65" spans="8:15">
      <c r="H65" s="104"/>
      <c r="J65" s="94" t="s">
        <v>141</v>
      </c>
      <c r="K65" s="6"/>
      <c r="L65" s="7"/>
      <c r="M65" s="127">
        <f>86526907</f>
        <v>86526907</v>
      </c>
      <c r="N65" s="7" t="s">
        <v>9</v>
      </c>
      <c r="O65" s="9"/>
    </row>
    <row r="66" spans="8:15" ht="15" thickBot="1">
      <c r="H66" s="104"/>
      <c r="J66" s="19" t="s">
        <v>16</v>
      </c>
      <c r="K66" s="20"/>
      <c r="L66" s="21"/>
      <c r="M66" s="125">
        <f>376072260/8766*8000</f>
        <v>343209911.01984942</v>
      </c>
      <c r="N66" s="21" t="s">
        <v>17</v>
      </c>
      <c r="O66" s="22"/>
    </row>
    <row r="67" spans="8:15">
      <c r="H67" s="104"/>
    </row>
    <row r="68" spans="8:15">
      <c r="H68" s="104"/>
    </row>
    <row r="69" spans="8:15">
      <c r="H69" s="104"/>
    </row>
    <row r="70" spans="8:15">
      <c r="H70" s="104"/>
    </row>
    <row r="71" spans="8:15">
      <c r="H71" s="104"/>
    </row>
    <row r="72" spans="8:15">
      <c r="H72" s="104"/>
      <c r="M72" s="82"/>
    </row>
    <row r="73" spans="8:15">
      <c r="H73" s="104"/>
    </row>
    <row r="74" spans="8:15">
      <c r="H74" s="104"/>
    </row>
  </sheetData>
  <mergeCells count="21">
    <mergeCell ref="J3:O3"/>
    <mergeCell ref="J1:O1"/>
    <mergeCell ref="J9:O9"/>
    <mergeCell ref="J7:O7"/>
    <mergeCell ref="J25:O25"/>
    <mergeCell ref="J32:L32"/>
    <mergeCell ref="A15:C15"/>
    <mergeCell ref="A17:F17"/>
    <mergeCell ref="J64:O64"/>
    <mergeCell ref="A19:F19"/>
    <mergeCell ref="A23:F23"/>
    <mergeCell ref="A28:C28"/>
    <mergeCell ref="A22:C22"/>
    <mergeCell ref="J43:L43"/>
    <mergeCell ref="J44:L44"/>
    <mergeCell ref="J47:O47"/>
    <mergeCell ref="J55:O55"/>
    <mergeCell ref="J57:O57"/>
    <mergeCell ref="J21:L21"/>
    <mergeCell ref="J52:L52"/>
    <mergeCell ref="J49:O49"/>
  </mergeCells>
  <hyperlinks>
    <hyperlink ref="O21" r:id="rId1" location="v=onepage&amp;q=turton%20analysis%20synthesis%20third%20edition&amp;f=false" xr:uid="{A71995C9-A9B7-4501-8D46-2F0309178704}"/>
    <hyperlink ref="L26" r:id="rId2" location="v=onepage&amp;q=turton%20analysis%20synthesis%20third%20edition&amp;f=false" xr:uid="{028B83C2-8296-4121-91D2-D0EDAE13050D}"/>
    <hyperlink ref="L34" r:id="rId3" location="v=onepage&amp;q=turton%20analysis%20synthesis%20third%20edition&amp;f=false" xr:uid="{881B3303-C839-48AD-83FD-54749E5CCF89}"/>
    <hyperlink ref="L50" r:id="rId4" xr:uid="{E1318BD6-A57B-4527-AF49-68905749DA63}"/>
    <hyperlink ref="C4" r:id="rId5" xr:uid="{B8BB224A-90DF-4302-972D-8D27BF747D2B}"/>
    <hyperlink ref="C13" r:id="rId6" xr:uid="{F3C8A124-4DD6-4774-9C3D-1F7D12ECDF28}"/>
    <hyperlink ref="C14" r:id="rId7" xr:uid="{B97AE848-0F8A-403C-B80D-431BEB5C5D5E}"/>
    <hyperlink ref="L27" r:id="rId8" xr:uid="{7919D1FC-5F08-46DB-8744-2A14E0888959}"/>
    <hyperlink ref="L36" r:id="rId9" xr:uid="{7EE4AD09-61CC-4418-AAEA-6D607BFB7403}"/>
    <hyperlink ref="C24" r:id="rId10" xr:uid="{1754ED1D-0EC2-4AD8-AB48-888F359361DB}"/>
    <hyperlink ref="C25" r:id="rId11" xr:uid="{9A11EF59-3208-4F1D-9884-ADEB70929B6C}"/>
    <hyperlink ref="C20" r:id="rId12" xr:uid="{5A2A626B-CA3E-4BA6-9087-8C9A525D68B2}"/>
  </hyperlinks>
  <pageMargins left="0.7" right="0.7" top="0.75" bottom="0.75" header="0.3" footer="0.3"/>
  <pageSetup paperSize="9" orientation="portrait" r:id="rId1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5DC20-6664-43C1-A9F7-2F2EBA84D6B5}">
  <sheetPr>
    <tabColor theme="9" tint="0.59999389629810485"/>
  </sheetPr>
  <dimension ref="A1:O74"/>
  <sheetViews>
    <sheetView topLeftCell="A47" zoomScaleNormal="100" workbookViewId="0">
      <selection activeCell="B54" sqref="B54"/>
    </sheetView>
  </sheetViews>
  <sheetFormatPr defaultRowHeight="14.45"/>
  <cols>
    <col min="1" max="1" width="35.42578125" customWidth="1"/>
    <col min="4" max="4" width="10.140625" customWidth="1"/>
    <col min="6" max="6" width="26.5703125" customWidth="1"/>
    <col min="10" max="10" width="35.5703125" customWidth="1"/>
    <col min="13" max="13" width="12" bestFit="1" customWidth="1"/>
    <col min="15" max="15" width="59.5703125" customWidth="1"/>
  </cols>
  <sheetData>
    <row r="1" spans="1:15" ht="15" thickBot="1">
      <c r="A1" s="117" t="s">
        <v>95</v>
      </c>
      <c r="B1" s="117"/>
      <c r="C1" s="117"/>
      <c r="D1" s="117"/>
      <c r="E1" s="117"/>
      <c r="F1" s="117"/>
      <c r="H1" s="104"/>
      <c r="J1" s="150" t="s">
        <v>1</v>
      </c>
      <c r="K1" s="151"/>
      <c r="L1" s="151"/>
      <c r="M1" s="151"/>
      <c r="N1" s="151"/>
      <c r="O1" s="152"/>
    </row>
    <row r="2" spans="1:15" ht="15" thickBot="1">
      <c r="A2" s="14"/>
      <c r="B2" s="14" t="s">
        <v>2</v>
      </c>
      <c r="C2" s="14" t="s">
        <v>3</v>
      </c>
      <c r="D2" s="14" t="s">
        <v>4</v>
      </c>
      <c r="E2" s="14" t="s">
        <v>5</v>
      </c>
      <c r="F2" s="14" t="s">
        <v>6</v>
      </c>
      <c r="H2" s="104"/>
      <c r="J2" s="1"/>
      <c r="K2" s="2" t="s">
        <v>2</v>
      </c>
      <c r="L2" s="3" t="s">
        <v>3</v>
      </c>
      <c r="M2" s="3" t="s">
        <v>4</v>
      </c>
      <c r="N2" s="3" t="s">
        <v>5</v>
      </c>
      <c r="O2" s="4" t="s">
        <v>6</v>
      </c>
    </row>
    <row r="3" spans="1:15" ht="15" thickBot="1">
      <c r="A3" s="14" t="s">
        <v>7</v>
      </c>
      <c r="B3" s="14" t="s">
        <v>8</v>
      </c>
      <c r="C3" s="12" t="s">
        <v>1</v>
      </c>
      <c r="D3" s="17">
        <f>M4</f>
        <v>98420229.33676976</v>
      </c>
      <c r="E3" s="14" t="s">
        <v>9</v>
      </c>
      <c r="F3" s="14"/>
      <c r="H3" s="104"/>
      <c r="J3" s="204" t="s">
        <v>96</v>
      </c>
      <c r="K3" s="205"/>
      <c r="L3" s="205"/>
      <c r="M3" s="205"/>
      <c r="N3" s="205"/>
      <c r="O3" s="206"/>
    </row>
    <row r="4" spans="1:15">
      <c r="A4" s="14" t="s">
        <v>12</v>
      </c>
      <c r="B4" s="14" t="s">
        <v>13</v>
      </c>
      <c r="C4" s="46" t="s">
        <v>14</v>
      </c>
      <c r="D4" s="14">
        <v>0.1</v>
      </c>
      <c r="E4" s="14" t="s">
        <v>11</v>
      </c>
      <c r="F4" s="14" t="s">
        <v>15</v>
      </c>
      <c r="H4" s="104"/>
      <c r="J4" s="94" t="s">
        <v>10</v>
      </c>
      <c r="K4" s="6" t="s">
        <v>11</v>
      </c>
      <c r="L4" s="7" t="s">
        <v>11</v>
      </c>
      <c r="M4" s="8">
        <f>M62+M65</f>
        <v>98420229.33676976</v>
      </c>
      <c r="N4" s="7" t="s">
        <v>9</v>
      </c>
      <c r="O4" s="9"/>
    </row>
    <row r="5" spans="1:15" ht="15" thickBot="1">
      <c r="A5" s="116" t="s">
        <v>97</v>
      </c>
      <c r="B5" s="116"/>
      <c r="C5" s="116"/>
      <c r="D5" s="103">
        <f>D3*(1+D4)+'Carbon Capture - DAC'!D5</f>
        <v>119056442.27044675</v>
      </c>
      <c r="E5" s="14" t="s">
        <v>9</v>
      </c>
      <c r="F5" s="14" t="s">
        <v>144</v>
      </c>
      <c r="H5" s="104"/>
      <c r="J5" s="19" t="s">
        <v>16</v>
      </c>
      <c r="K5" s="20" t="s">
        <v>11</v>
      </c>
      <c r="L5" s="21" t="s">
        <v>11</v>
      </c>
      <c r="M5" s="21">
        <f>M63+M66</f>
        <v>366193311.01984942</v>
      </c>
      <c r="N5" s="21" t="s">
        <v>17</v>
      </c>
      <c r="O5" s="22"/>
    </row>
    <row r="6" spans="1:15" ht="15" thickBot="1">
      <c r="H6" s="104"/>
    </row>
    <row r="7" spans="1:15" ht="15" thickBot="1">
      <c r="A7" s="118" t="s">
        <v>98</v>
      </c>
      <c r="B7" s="119"/>
      <c r="C7" s="119"/>
      <c r="D7" s="119"/>
      <c r="E7" s="119"/>
      <c r="F7" s="120"/>
      <c r="H7" s="104"/>
      <c r="J7" s="207" t="s">
        <v>19</v>
      </c>
      <c r="K7" s="208"/>
      <c r="L7" s="208"/>
      <c r="M7" s="208"/>
      <c r="N7" s="208"/>
      <c r="O7" s="209"/>
    </row>
    <row r="8" spans="1:15" ht="15" thickBot="1">
      <c r="A8" s="14"/>
      <c r="B8" s="14" t="s">
        <v>2</v>
      </c>
      <c r="C8" s="14" t="s">
        <v>22</v>
      </c>
      <c r="D8" s="14" t="s">
        <v>4</v>
      </c>
      <c r="E8" s="14" t="s">
        <v>5</v>
      </c>
      <c r="F8" s="14" t="s">
        <v>6</v>
      </c>
      <c r="H8" s="104"/>
      <c r="J8" s="83"/>
      <c r="K8" s="84" t="s">
        <v>2</v>
      </c>
      <c r="L8" s="85" t="s">
        <v>21</v>
      </c>
      <c r="M8" s="85" t="s">
        <v>4</v>
      </c>
      <c r="N8" s="85" t="s">
        <v>5</v>
      </c>
      <c r="O8" s="86" t="s">
        <v>6</v>
      </c>
    </row>
    <row r="9" spans="1:15" ht="15" thickBot="1">
      <c r="A9" s="14" t="s">
        <v>26</v>
      </c>
      <c r="B9" s="14" t="s">
        <v>27</v>
      </c>
      <c r="C9" s="74" t="s">
        <v>28</v>
      </c>
      <c r="D9" s="17">
        <f>M21</f>
        <v>2795643.632654205</v>
      </c>
      <c r="E9" s="14" t="s">
        <v>17</v>
      </c>
      <c r="F9" s="14"/>
      <c r="H9" s="104"/>
      <c r="J9" s="204" t="s">
        <v>99</v>
      </c>
      <c r="K9" s="205"/>
      <c r="L9" s="205"/>
      <c r="M9" s="205"/>
      <c r="N9" s="205"/>
      <c r="O9" s="206"/>
    </row>
    <row r="10" spans="1:15">
      <c r="A10" s="14" t="s">
        <v>31</v>
      </c>
      <c r="B10" s="14" t="s">
        <v>32</v>
      </c>
      <c r="C10" s="12" t="s">
        <v>1</v>
      </c>
      <c r="D10" s="14">
        <f>M5</f>
        <v>366193311.01984942</v>
      </c>
      <c r="E10" s="14" t="s">
        <v>17</v>
      </c>
      <c r="F10" s="14"/>
      <c r="H10" s="104"/>
      <c r="J10" s="94" t="s">
        <v>23</v>
      </c>
      <c r="K10" s="93" t="s">
        <v>24</v>
      </c>
      <c r="L10" s="87" t="s">
        <v>25</v>
      </c>
      <c r="M10" s="91">
        <f>(6.29+31.7*M19^2+0.23*M16)^0.5</f>
        <v>11.743934604722559</v>
      </c>
      <c r="N10" s="87" t="s">
        <v>11</v>
      </c>
      <c r="O10" s="88"/>
    </row>
    <row r="11" spans="1:15">
      <c r="A11" s="14" t="s">
        <v>34</v>
      </c>
      <c r="B11" s="14" t="s">
        <v>35</v>
      </c>
      <c r="C11" s="75" t="s">
        <v>36</v>
      </c>
      <c r="D11" s="14">
        <f>M44</f>
        <v>631938.48459779727</v>
      </c>
      <c r="E11" s="14" t="s">
        <v>17</v>
      </c>
      <c r="F11" s="14"/>
      <c r="H11" s="104"/>
      <c r="J11" s="10" t="s">
        <v>29</v>
      </c>
      <c r="K11" s="11" t="s">
        <v>11</v>
      </c>
      <c r="L11" s="12" t="s">
        <v>30</v>
      </c>
      <c r="M11" s="13">
        <v>3</v>
      </c>
      <c r="N11" s="14" t="s">
        <v>11</v>
      </c>
      <c r="O11" s="15"/>
    </row>
    <row r="12" spans="1:15">
      <c r="A12" s="14" t="s">
        <v>38</v>
      </c>
      <c r="B12" s="14" t="s">
        <v>39</v>
      </c>
      <c r="C12" s="76" t="s">
        <v>40</v>
      </c>
      <c r="D12" s="17">
        <v>0</v>
      </c>
      <c r="E12" s="14" t="s">
        <v>17</v>
      </c>
      <c r="F12" s="14" t="s">
        <v>100</v>
      </c>
      <c r="H12" s="104"/>
      <c r="J12" s="10" t="s">
        <v>33</v>
      </c>
      <c r="K12" s="11" t="s">
        <v>11</v>
      </c>
      <c r="L12" s="12" t="s">
        <v>30</v>
      </c>
      <c r="M12" s="13">
        <v>7</v>
      </c>
      <c r="N12" s="14" t="s">
        <v>11</v>
      </c>
      <c r="O12" s="15"/>
    </row>
    <row r="13" spans="1:15">
      <c r="A13" s="14" t="s">
        <v>42</v>
      </c>
      <c r="B13" s="14" t="s">
        <v>43</v>
      </c>
      <c r="C13" s="46" t="s">
        <v>14</v>
      </c>
      <c r="D13" s="14">
        <f>0.05*D5</f>
        <v>5952822.1135223377</v>
      </c>
      <c r="E13" s="14" t="s">
        <v>17</v>
      </c>
      <c r="F13" s="14" t="s">
        <v>44</v>
      </c>
      <c r="H13" s="104"/>
      <c r="J13" s="10" t="s">
        <v>37</v>
      </c>
      <c r="K13" s="11" t="s">
        <v>11</v>
      </c>
      <c r="L13" s="12" t="s">
        <v>30</v>
      </c>
      <c r="M13" s="13">
        <v>2</v>
      </c>
      <c r="N13" s="14" t="s">
        <v>11</v>
      </c>
      <c r="O13" s="15"/>
    </row>
    <row r="14" spans="1:15">
      <c r="A14" s="14" t="s">
        <v>46</v>
      </c>
      <c r="B14" s="14" t="s">
        <v>47</v>
      </c>
      <c r="C14" s="46" t="s">
        <v>14</v>
      </c>
      <c r="D14" s="14">
        <f>0.1*D5</f>
        <v>11905644.227044675</v>
      </c>
      <c r="E14" s="14" t="s">
        <v>17</v>
      </c>
      <c r="F14" s="14" t="s">
        <v>48</v>
      </c>
      <c r="H14" s="104"/>
      <c r="J14" s="10" t="s">
        <v>41</v>
      </c>
      <c r="K14" s="11" t="s">
        <v>11</v>
      </c>
      <c r="L14" s="12" t="s">
        <v>30</v>
      </c>
      <c r="M14" s="13">
        <v>9</v>
      </c>
      <c r="N14" s="14" t="s">
        <v>11</v>
      </c>
      <c r="O14" s="15"/>
    </row>
    <row r="15" spans="1:15">
      <c r="A15" s="210" t="s">
        <v>101</v>
      </c>
      <c r="B15" s="210"/>
      <c r="C15" s="210"/>
      <c r="D15" s="102">
        <f>SUM(D9:D14)+'Carbon Capture - DAC'!D15</f>
        <v>519087618.72908872</v>
      </c>
      <c r="E15" s="14" t="s">
        <v>17</v>
      </c>
      <c r="F15" s="14" t="s">
        <v>145</v>
      </c>
      <c r="H15" s="104"/>
      <c r="J15" s="10" t="s">
        <v>45</v>
      </c>
      <c r="K15" s="11" t="s">
        <v>11</v>
      </c>
      <c r="L15" s="12" t="s">
        <v>30</v>
      </c>
      <c r="M15" s="13">
        <v>0</v>
      </c>
      <c r="N15" s="14" t="s">
        <v>11</v>
      </c>
      <c r="O15" s="15"/>
    </row>
    <row r="16" spans="1:15">
      <c r="H16" s="104"/>
      <c r="J16" s="16" t="s">
        <v>49</v>
      </c>
      <c r="K16" s="11" t="s">
        <v>50</v>
      </c>
      <c r="L16" s="14" t="s">
        <v>11</v>
      </c>
      <c r="M16" s="17">
        <f>SUM(M11:M15)</f>
        <v>21</v>
      </c>
      <c r="N16" s="14" t="s">
        <v>11</v>
      </c>
      <c r="O16" s="15"/>
    </row>
    <row r="17" spans="1:15">
      <c r="A17" s="203" t="s">
        <v>102</v>
      </c>
      <c r="B17" s="203"/>
      <c r="C17" s="203"/>
      <c r="D17" s="203"/>
      <c r="E17" s="203"/>
      <c r="F17" s="203"/>
      <c r="H17" s="104"/>
      <c r="J17" s="16" t="s">
        <v>52</v>
      </c>
      <c r="K17" s="11" t="s">
        <v>11</v>
      </c>
      <c r="L17" s="14" t="s">
        <v>11</v>
      </c>
      <c r="M17" s="18">
        <v>4.5</v>
      </c>
      <c r="N17" s="14" t="s">
        <v>11</v>
      </c>
      <c r="O17" s="15"/>
    </row>
    <row r="18" spans="1:15">
      <c r="A18" s="14"/>
      <c r="B18" s="14" t="s">
        <v>2</v>
      </c>
      <c r="C18" s="14" t="s">
        <v>3</v>
      </c>
      <c r="D18" s="14" t="s">
        <v>4</v>
      </c>
      <c r="E18" s="14" t="s">
        <v>5</v>
      </c>
      <c r="F18" s="14" t="s">
        <v>6</v>
      </c>
      <c r="H18" s="104"/>
      <c r="J18" s="16" t="s">
        <v>53</v>
      </c>
      <c r="K18" s="11" t="s">
        <v>54</v>
      </c>
      <c r="L18" s="14" t="s">
        <v>11</v>
      </c>
      <c r="M18" s="17">
        <f>M17*M10</f>
        <v>52.847705721251515</v>
      </c>
      <c r="N18" s="14" t="s">
        <v>11</v>
      </c>
      <c r="O18" s="15"/>
    </row>
    <row r="19" spans="1:15">
      <c r="A19" s="193" t="s">
        <v>103</v>
      </c>
      <c r="B19" s="193"/>
      <c r="C19" s="193"/>
      <c r="D19" s="193"/>
      <c r="E19" s="193"/>
      <c r="F19" s="193"/>
      <c r="H19" s="104"/>
      <c r="J19" s="16" t="s">
        <v>55</v>
      </c>
      <c r="K19" s="11" t="s">
        <v>56</v>
      </c>
      <c r="L19" s="12" t="s">
        <v>30</v>
      </c>
      <c r="M19" s="13">
        <v>2</v>
      </c>
      <c r="N19" s="14" t="s">
        <v>11</v>
      </c>
      <c r="O19" s="15" t="s">
        <v>57</v>
      </c>
    </row>
    <row r="20" spans="1:15" ht="15" thickBot="1">
      <c r="A20" s="14" t="s">
        <v>104</v>
      </c>
      <c r="B20" s="14" t="s">
        <v>11</v>
      </c>
      <c r="C20" s="46" t="s">
        <v>105</v>
      </c>
      <c r="D20" s="14">
        <v>0.68</v>
      </c>
      <c r="E20" s="14" t="s">
        <v>66</v>
      </c>
      <c r="F20" s="14"/>
      <c r="H20" s="104"/>
      <c r="J20" s="19" t="s">
        <v>58</v>
      </c>
      <c r="K20" s="53" t="s">
        <v>59</v>
      </c>
      <c r="L20" s="43" t="s">
        <v>11</v>
      </c>
      <c r="M20" s="18">
        <v>52900</v>
      </c>
      <c r="N20" s="14" t="s">
        <v>17</v>
      </c>
      <c r="O20" s="15"/>
    </row>
    <row r="21" spans="1:15" ht="14.1" customHeight="1" thickBot="1">
      <c r="A21" s="14" t="s">
        <v>106</v>
      </c>
      <c r="B21" s="14" t="s">
        <v>11</v>
      </c>
      <c r="C21" s="12" t="s">
        <v>1</v>
      </c>
      <c r="D21" s="13">
        <v>7173020</v>
      </c>
      <c r="E21" s="14" t="s">
        <v>71</v>
      </c>
      <c r="F21" s="14"/>
      <c r="H21" s="104"/>
      <c r="J21" s="175" t="s">
        <v>107</v>
      </c>
      <c r="K21" s="176"/>
      <c r="L21" s="177"/>
      <c r="M21" s="89">
        <f>M18*M20</f>
        <v>2795643.632654205</v>
      </c>
      <c r="N21" s="21" t="s">
        <v>17</v>
      </c>
      <c r="O21" s="92" t="s">
        <v>61</v>
      </c>
    </row>
    <row r="22" spans="1:15" ht="15" thickBot="1">
      <c r="A22" s="194" t="s">
        <v>108</v>
      </c>
      <c r="B22" s="195"/>
      <c r="C22" s="196"/>
      <c r="D22" s="14">
        <f>D21*D20</f>
        <v>4877653.6000000006</v>
      </c>
      <c r="E22" s="14" t="s">
        <v>17</v>
      </c>
      <c r="F22" s="14"/>
      <c r="H22" s="104"/>
      <c r="J22" s="124"/>
      <c r="K22" s="124"/>
      <c r="L22" s="124"/>
      <c r="M22" s="82"/>
    </row>
    <row r="23" spans="1:15" ht="15" thickBot="1">
      <c r="A23" s="193" t="s">
        <v>96</v>
      </c>
      <c r="B23" s="193"/>
      <c r="C23" s="193"/>
      <c r="D23" s="193"/>
      <c r="E23" s="193"/>
      <c r="F23" s="193"/>
      <c r="H23" s="104"/>
      <c r="J23" s="110" t="s">
        <v>62</v>
      </c>
      <c r="K23" s="111"/>
      <c r="L23" s="111"/>
      <c r="M23" s="111"/>
      <c r="N23" s="111"/>
      <c r="O23" s="112"/>
    </row>
    <row r="24" spans="1:15" ht="15" thickBot="1">
      <c r="A24" s="14" t="s">
        <v>109</v>
      </c>
      <c r="B24" s="14" t="s">
        <v>11</v>
      </c>
      <c r="C24" s="46" t="s">
        <v>110</v>
      </c>
      <c r="D24" s="14">
        <v>0.37</v>
      </c>
      <c r="E24" s="14" t="s">
        <v>66</v>
      </c>
      <c r="F24" s="14"/>
      <c r="H24" s="104"/>
      <c r="J24" s="23"/>
      <c r="K24" s="24" t="s">
        <v>2</v>
      </c>
      <c r="L24" s="25" t="s">
        <v>21</v>
      </c>
      <c r="M24" s="25" t="s">
        <v>4</v>
      </c>
      <c r="N24" s="25" t="s">
        <v>5</v>
      </c>
      <c r="O24" s="26" t="s">
        <v>6</v>
      </c>
    </row>
    <row r="25" spans="1:15" ht="15" thickBot="1">
      <c r="A25" s="14" t="s">
        <v>104</v>
      </c>
      <c r="B25" s="14" t="s">
        <v>11</v>
      </c>
      <c r="C25" s="46" t="s">
        <v>105</v>
      </c>
      <c r="D25" s="14">
        <v>0.68</v>
      </c>
      <c r="E25" s="14" t="s">
        <v>66</v>
      </c>
      <c r="F25" s="14"/>
      <c r="H25" s="104"/>
      <c r="J25" s="190" t="s">
        <v>103</v>
      </c>
      <c r="K25" s="191"/>
      <c r="L25" s="191"/>
      <c r="M25" s="191"/>
      <c r="N25" s="191"/>
      <c r="O25" s="192"/>
    </row>
    <row r="26" spans="1:15">
      <c r="A26" s="14" t="s">
        <v>111</v>
      </c>
      <c r="B26" s="14" t="s">
        <v>11</v>
      </c>
      <c r="C26" s="12" t="s">
        <v>1</v>
      </c>
      <c r="D26" s="13">
        <v>47797200</v>
      </c>
      <c r="E26" s="14" t="s">
        <v>71</v>
      </c>
      <c r="F26" s="14"/>
      <c r="H26" s="104"/>
      <c r="J26" s="27" t="s">
        <v>67</v>
      </c>
      <c r="K26" s="51" t="s">
        <v>11</v>
      </c>
      <c r="L26" s="97" t="s">
        <v>68</v>
      </c>
      <c r="M26" s="49">
        <v>1E-3</v>
      </c>
      <c r="N26" s="47" t="s">
        <v>66</v>
      </c>
      <c r="O26" s="50" t="s">
        <v>69</v>
      </c>
    </row>
    <row r="27" spans="1:15">
      <c r="A27" s="14" t="s">
        <v>106</v>
      </c>
      <c r="B27" s="14" t="s">
        <v>11</v>
      </c>
      <c r="C27" s="12" t="s">
        <v>1</v>
      </c>
      <c r="D27" s="13">
        <v>4519000</v>
      </c>
      <c r="E27" s="14" t="s">
        <v>71</v>
      </c>
      <c r="F27" s="14"/>
      <c r="H27" s="104"/>
      <c r="J27" s="16" t="s">
        <v>116</v>
      </c>
      <c r="K27" s="11" t="s">
        <v>11</v>
      </c>
      <c r="L27" s="46" t="s">
        <v>117</v>
      </c>
      <c r="M27" s="98">
        <v>141</v>
      </c>
      <c r="N27" s="14" t="s">
        <v>66</v>
      </c>
      <c r="O27" s="15"/>
    </row>
    <row r="28" spans="1:15">
      <c r="A28" s="200" t="s">
        <v>114</v>
      </c>
      <c r="B28" s="201"/>
      <c r="C28" s="202"/>
      <c r="D28" s="103">
        <f>D24*D26+D25*D27</f>
        <v>20757884</v>
      </c>
      <c r="E28" s="14" t="s">
        <v>17</v>
      </c>
      <c r="F28" s="14" t="s">
        <v>115</v>
      </c>
      <c r="H28" s="104"/>
      <c r="J28" s="33" t="s">
        <v>72</v>
      </c>
      <c r="K28" s="34" t="s">
        <v>11</v>
      </c>
      <c r="L28" s="78" t="s">
        <v>1</v>
      </c>
      <c r="M28" s="38">
        <v>189506000</v>
      </c>
      <c r="N28" s="36" t="s">
        <v>71</v>
      </c>
      <c r="O28" s="37"/>
    </row>
    <row r="29" spans="1:15">
      <c r="D29" s="82"/>
      <c r="H29" s="104"/>
      <c r="J29" s="33" t="s">
        <v>119</v>
      </c>
      <c r="K29" s="11" t="s">
        <v>11</v>
      </c>
      <c r="L29" s="78" t="s">
        <v>1</v>
      </c>
      <c r="M29" s="38">
        <v>0</v>
      </c>
      <c r="N29" s="14" t="s">
        <v>71</v>
      </c>
      <c r="O29" s="15"/>
    </row>
    <row r="30" spans="1:15">
      <c r="H30" s="104"/>
      <c r="J30" s="33" t="s">
        <v>74</v>
      </c>
      <c r="K30" s="34" t="s">
        <v>11</v>
      </c>
      <c r="L30" s="36" t="s">
        <v>11</v>
      </c>
      <c r="M30" s="36">
        <f>M26*M28</f>
        <v>189506</v>
      </c>
      <c r="N30" s="36" t="s">
        <v>17</v>
      </c>
      <c r="O30" s="37"/>
    </row>
    <row r="31" spans="1:15" ht="15" thickBot="1">
      <c r="H31" s="104"/>
      <c r="J31" s="40" t="s">
        <v>121</v>
      </c>
      <c r="K31" s="53" t="s">
        <v>11</v>
      </c>
      <c r="L31" s="43" t="s">
        <v>11</v>
      </c>
      <c r="M31" s="36">
        <f>M27*M29</f>
        <v>0</v>
      </c>
      <c r="N31" s="14" t="s">
        <v>17</v>
      </c>
      <c r="O31" s="15"/>
    </row>
    <row r="32" spans="1:15" ht="15" thickBot="1">
      <c r="D32" s="82"/>
      <c r="H32" s="104"/>
      <c r="J32" s="147" t="s">
        <v>122</v>
      </c>
      <c r="K32" s="148"/>
      <c r="L32" s="149"/>
      <c r="M32" s="53">
        <f>M30+M31</f>
        <v>189506</v>
      </c>
      <c r="N32" s="42" t="s">
        <v>17</v>
      </c>
      <c r="O32" s="55"/>
    </row>
    <row r="33" spans="4:15" ht="15" thickBot="1">
      <c r="D33" s="82"/>
      <c r="H33" s="104"/>
      <c r="J33" s="121" t="s">
        <v>96</v>
      </c>
      <c r="K33" s="122"/>
      <c r="L33" s="122"/>
      <c r="M33" s="122"/>
      <c r="N33" s="122"/>
      <c r="O33" s="123"/>
    </row>
    <row r="34" spans="4:15">
      <c r="H34" s="104"/>
      <c r="J34" s="27" t="s">
        <v>67</v>
      </c>
      <c r="K34" s="51" t="s">
        <v>11</v>
      </c>
      <c r="L34" s="97" t="s">
        <v>68</v>
      </c>
      <c r="M34" s="49">
        <v>1E-3</v>
      </c>
      <c r="N34" s="47" t="s">
        <v>66</v>
      </c>
      <c r="O34" s="50" t="s">
        <v>69</v>
      </c>
    </row>
    <row r="35" spans="4:15">
      <c r="H35" s="104"/>
      <c r="J35" s="33" t="s">
        <v>86</v>
      </c>
      <c r="K35" s="11" t="s">
        <v>11</v>
      </c>
      <c r="L35" s="14" t="s">
        <v>68</v>
      </c>
      <c r="M35" s="80">
        <v>3.5000000000000001E-3</v>
      </c>
      <c r="N35" s="14" t="s">
        <v>87</v>
      </c>
      <c r="O35" s="15"/>
    </row>
    <row r="36" spans="4:15">
      <c r="H36" s="104"/>
      <c r="J36" s="33" t="s">
        <v>123</v>
      </c>
      <c r="K36" s="11" t="s">
        <v>11</v>
      </c>
      <c r="L36" s="46" t="s">
        <v>124</v>
      </c>
      <c r="M36" s="80">
        <v>0.32</v>
      </c>
      <c r="N36" s="14" t="s">
        <v>66</v>
      </c>
      <c r="O36" s="15"/>
    </row>
    <row r="37" spans="4:15">
      <c r="H37" s="104"/>
      <c r="J37" s="33" t="s">
        <v>72</v>
      </c>
      <c r="K37" s="11" t="s">
        <v>11</v>
      </c>
      <c r="L37" s="78" t="s">
        <v>1</v>
      </c>
      <c r="M37" s="38">
        <v>33953200</v>
      </c>
      <c r="N37" s="14" t="s">
        <v>71</v>
      </c>
      <c r="O37" s="15"/>
    </row>
    <row r="38" spans="4:15">
      <c r="H38" s="104"/>
      <c r="J38" s="33" t="s">
        <v>125</v>
      </c>
      <c r="K38" s="11" t="s">
        <v>11</v>
      </c>
      <c r="L38" s="78" t="s">
        <v>1</v>
      </c>
      <c r="M38" s="38">
        <v>116695000</v>
      </c>
      <c r="N38" s="14" t="s">
        <v>91</v>
      </c>
      <c r="O38" s="15"/>
    </row>
    <row r="39" spans="4:15" ht="101.45">
      <c r="H39" s="104"/>
      <c r="J39" s="33" t="s">
        <v>119</v>
      </c>
      <c r="K39" s="11" t="s">
        <v>11</v>
      </c>
      <c r="L39" s="78" t="s">
        <v>1</v>
      </c>
      <c r="M39" s="38">
        <f>2*2*36.5504670291087</f>
        <v>146.20186811643481</v>
      </c>
      <c r="N39" s="14" t="s">
        <v>71</v>
      </c>
      <c r="O39" s="129" t="s">
        <v>126</v>
      </c>
    </row>
    <row r="40" spans="4:15">
      <c r="H40" s="104"/>
      <c r="J40" s="33" t="s">
        <v>74</v>
      </c>
      <c r="K40" s="34" t="s">
        <v>11</v>
      </c>
      <c r="L40" s="14" t="s">
        <v>11</v>
      </c>
      <c r="M40" s="14">
        <f>M34*M37</f>
        <v>33953.199999999997</v>
      </c>
      <c r="N40" s="36" t="s">
        <v>17</v>
      </c>
      <c r="O40" s="37"/>
    </row>
    <row r="41" spans="4:15">
      <c r="H41" s="104"/>
      <c r="J41" s="33" t="s">
        <v>127</v>
      </c>
      <c r="K41" s="34" t="s">
        <v>11</v>
      </c>
      <c r="L41" s="36" t="s">
        <v>11</v>
      </c>
      <c r="M41" s="14">
        <f t="shared" ref="M41:M42" si="0">M35*M38</f>
        <v>408432.5</v>
      </c>
      <c r="N41" s="36" t="s">
        <v>17</v>
      </c>
      <c r="O41" s="37"/>
    </row>
    <row r="42" spans="4:15" ht="15" thickBot="1">
      <c r="H42" s="104"/>
      <c r="J42" s="40" t="s">
        <v>121</v>
      </c>
      <c r="K42" s="53" t="s">
        <v>11</v>
      </c>
      <c r="L42" s="43" t="s">
        <v>11</v>
      </c>
      <c r="M42" s="14">
        <f t="shared" si="0"/>
        <v>46.784597797259138</v>
      </c>
      <c r="N42" s="14" t="s">
        <v>17</v>
      </c>
      <c r="O42" s="15"/>
    </row>
    <row r="43" spans="4:15" ht="15" thickBot="1">
      <c r="H43" s="104"/>
      <c r="J43" s="147" t="s">
        <v>128</v>
      </c>
      <c r="K43" s="148"/>
      <c r="L43" s="149"/>
      <c r="M43" s="20">
        <f>M40+M41+M42</f>
        <v>442432.48459779727</v>
      </c>
      <c r="N43" s="59" t="s">
        <v>17</v>
      </c>
      <c r="O43" s="22"/>
    </row>
    <row r="44" spans="4:15" ht="15" thickBot="1">
      <c r="H44" s="104"/>
      <c r="J44" s="187" t="s">
        <v>75</v>
      </c>
      <c r="K44" s="188"/>
      <c r="L44" s="189"/>
      <c r="M44" s="1">
        <f>M32+M43</f>
        <v>631938.48459779727</v>
      </c>
      <c r="N44" s="57" t="s">
        <v>17</v>
      </c>
      <c r="O44" s="45"/>
    </row>
    <row r="45" spans="4:15">
      <c r="H45" s="104"/>
    </row>
    <row r="46" spans="4:15" ht="15" thickBot="1">
      <c r="H46" s="104"/>
    </row>
    <row r="47" spans="4:15" ht="15" thickBot="1">
      <c r="H47" s="104"/>
      <c r="J47" s="178" t="s">
        <v>76</v>
      </c>
      <c r="K47" s="179"/>
      <c r="L47" s="179"/>
      <c r="M47" s="179"/>
      <c r="N47" s="179"/>
      <c r="O47" s="180"/>
    </row>
    <row r="48" spans="4:15" ht="15" thickBot="1">
      <c r="H48" s="104"/>
      <c r="J48" s="57"/>
      <c r="K48" s="64" t="s">
        <v>2</v>
      </c>
      <c r="L48" s="65" t="s">
        <v>21</v>
      </c>
      <c r="M48" s="65" t="s">
        <v>4</v>
      </c>
      <c r="N48" s="65" t="s">
        <v>5</v>
      </c>
      <c r="O48" s="66" t="s">
        <v>6</v>
      </c>
    </row>
    <row r="49" spans="8:15" ht="15" thickBot="1">
      <c r="H49" s="104"/>
      <c r="J49" s="217" t="s">
        <v>129</v>
      </c>
      <c r="K49" s="218"/>
      <c r="L49" s="218"/>
      <c r="M49" s="218"/>
      <c r="N49" s="218"/>
      <c r="O49" s="219"/>
    </row>
    <row r="50" spans="8:15">
      <c r="H50" s="104"/>
      <c r="J50" s="94" t="s">
        <v>130</v>
      </c>
      <c r="K50" s="93" t="s">
        <v>11</v>
      </c>
      <c r="L50" s="48" t="s">
        <v>131</v>
      </c>
      <c r="M50" s="100">
        <v>5.47E-3</v>
      </c>
      <c r="N50" s="87" t="s">
        <v>66</v>
      </c>
      <c r="O50" s="88" t="s">
        <v>11</v>
      </c>
    </row>
    <row r="51" spans="8:15" ht="15" thickBot="1">
      <c r="H51" s="104"/>
      <c r="J51" s="39" t="s">
        <v>132</v>
      </c>
      <c r="K51" s="53" t="s">
        <v>11</v>
      </c>
      <c r="L51" s="101" t="s">
        <v>30</v>
      </c>
      <c r="M51" s="99">
        <v>17067600</v>
      </c>
      <c r="N51" s="14" t="s">
        <v>71</v>
      </c>
      <c r="O51" s="15" t="s">
        <v>133</v>
      </c>
    </row>
    <row r="52" spans="8:15" ht="15" thickBot="1">
      <c r="H52" s="104"/>
      <c r="J52" s="214" t="s">
        <v>134</v>
      </c>
      <c r="K52" s="215"/>
      <c r="L52" s="216"/>
      <c r="M52" s="89">
        <f>M51*M50</f>
        <v>93359.771999999997</v>
      </c>
      <c r="N52" s="21" t="s">
        <v>17</v>
      </c>
      <c r="O52" s="22" t="s">
        <v>11</v>
      </c>
    </row>
    <row r="53" spans="8:15">
      <c r="H53" s="104"/>
    </row>
    <row r="54" spans="8:15" ht="15" thickBot="1">
      <c r="H54" s="104"/>
    </row>
    <row r="55" spans="8:15" ht="15" thickBot="1">
      <c r="H55" s="104"/>
      <c r="J55" s="211" t="s">
        <v>135</v>
      </c>
      <c r="K55" s="212"/>
      <c r="L55" s="212"/>
      <c r="M55" s="212"/>
      <c r="N55" s="212"/>
      <c r="O55" s="213"/>
    </row>
    <row r="56" spans="8:15" ht="15" thickBot="1">
      <c r="H56" s="104"/>
      <c r="J56" s="126"/>
      <c r="K56" s="25" t="s">
        <v>2</v>
      </c>
      <c r="L56" s="25" t="s">
        <v>21</v>
      </c>
      <c r="M56" s="25" t="s">
        <v>4</v>
      </c>
      <c r="N56" s="25" t="s">
        <v>5</v>
      </c>
      <c r="O56" s="26" t="s">
        <v>6</v>
      </c>
    </row>
    <row r="57" spans="8:15" ht="15" thickBot="1">
      <c r="H57" s="104"/>
      <c r="J57" s="204" t="s">
        <v>1</v>
      </c>
      <c r="K57" s="205"/>
      <c r="L57" s="205"/>
      <c r="M57" s="205"/>
      <c r="N57" s="205"/>
      <c r="O57" s="206"/>
    </row>
    <row r="58" spans="8:15">
      <c r="H58" s="104"/>
      <c r="J58" s="94" t="s">
        <v>136</v>
      </c>
      <c r="K58" s="6"/>
      <c r="L58" s="7"/>
      <c r="M58" s="69">
        <v>230700</v>
      </c>
      <c r="N58" s="7" t="s">
        <v>9</v>
      </c>
      <c r="O58" s="9"/>
    </row>
    <row r="59" spans="8:15">
      <c r="H59" s="104"/>
      <c r="J59" s="16" t="s">
        <v>137</v>
      </c>
      <c r="K59" s="11"/>
      <c r="L59" s="14"/>
      <c r="M59" s="13">
        <v>3753900</v>
      </c>
      <c r="N59" s="14" t="s">
        <v>9</v>
      </c>
      <c r="O59" s="15"/>
    </row>
    <row r="60" spans="8:15">
      <c r="H60" s="104"/>
      <c r="J60" s="16" t="s">
        <v>138</v>
      </c>
      <c r="K60" s="11"/>
      <c r="L60" s="14"/>
      <c r="M60" s="14">
        <f>M58/M59</f>
        <v>6.1456085670902265E-2</v>
      </c>
      <c r="N60" s="14" t="s">
        <v>11</v>
      </c>
      <c r="O60" s="15"/>
    </row>
    <row r="61" spans="8:15">
      <c r="H61" s="104"/>
      <c r="J61" s="16" t="s">
        <v>0</v>
      </c>
      <c r="K61" s="11"/>
      <c r="L61" s="14"/>
      <c r="M61" s="13">
        <v>12672100</v>
      </c>
      <c r="N61" s="14" t="s">
        <v>9</v>
      </c>
      <c r="O61" s="15"/>
    </row>
    <row r="62" spans="8:15">
      <c r="H62" s="104"/>
      <c r="J62" s="16" t="s">
        <v>139</v>
      </c>
      <c r="K62" s="11"/>
      <c r="L62" s="14"/>
      <c r="M62" s="17">
        <f>M61-(M61*M60)</f>
        <v>11893322.33676976</v>
      </c>
      <c r="N62" s="14" t="s">
        <v>9</v>
      </c>
      <c r="O62" s="15"/>
    </row>
    <row r="63" spans="8:15" ht="15" thickBot="1">
      <c r="H63" s="104"/>
      <c r="J63" s="19" t="s">
        <v>16</v>
      </c>
      <c r="K63" s="53"/>
      <c r="L63" s="43"/>
      <c r="M63" s="95">
        <v>22983400</v>
      </c>
      <c r="N63" s="43" t="s">
        <v>17</v>
      </c>
      <c r="O63" s="55"/>
    </row>
    <row r="64" spans="8:15" ht="15" thickBot="1">
      <c r="H64" s="104"/>
      <c r="J64" s="204" t="s">
        <v>140</v>
      </c>
      <c r="K64" s="205"/>
      <c r="L64" s="205"/>
      <c r="M64" s="205"/>
      <c r="N64" s="205"/>
      <c r="O64" s="206"/>
    </row>
    <row r="65" spans="8:15">
      <c r="H65" s="104"/>
      <c r="J65" s="94" t="s">
        <v>141</v>
      </c>
      <c r="K65" s="6"/>
      <c r="L65" s="7"/>
      <c r="M65" s="127">
        <f>86526907</f>
        <v>86526907</v>
      </c>
      <c r="N65" s="7" t="s">
        <v>9</v>
      </c>
      <c r="O65" s="9"/>
    </row>
    <row r="66" spans="8:15" ht="15" thickBot="1">
      <c r="H66" s="104"/>
      <c r="J66" s="19" t="s">
        <v>16</v>
      </c>
      <c r="K66" s="20"/>
      <c r="L66" s="21"/>
      <c r="M66" s="125">
        <f>376072260/8766*8000</f>
        <v>343209911.01984942</v>
      </c>
      <c r="N66" s="21" t="s">
        <v>17</v>
      </c>
      <c r="O66" s="22"/>
    </row>
    <row r="67" spans="8:15">
      <c r="H67" s="104"/>
    </row>
    <row r="68" spans="8:15">
      <c r="H68" s="104"/>
    </row>
    <row r="69" spans="8:15">
      <c r="H69" s="104"/>
    </row>
    <row r="70" spans="8:15">
      <c r="H70" s="104"/>
    </row>
    <row r="71" spans="8:15">
      <c r="H71" s="104"/>
    </row>
    <row r="72" spans="8:15">
      <c r="H72" s="104"/>
      <c r="M72" s="82"/>
    </row>
    <row r="73" spans="8:15">
      <c r="H73" s="104"/>
    </row>
    <row r="74" spans="8:15">
      <c r="H74" s="104"/>
    </row>
  </sheetData>
  <mergeCells count="21">
    <mergeCell ref="A28:C28"/>
    <mergeCell ref="J1:O1"/>
    <mergeCell ref="J3:O3"/>
    <mergeCell ref="J7:O7"/>
    <mergeCell ref="J9:O9"/>
    <mergeCell ref="A15:C15"/>
    <mergeCell ref="A17:F17"/>
    <mergeCell ref="A19:F19"/>
    <mergeCell ref="J21:L21"/>
    <mergeCell ref="A22:C22"/>
    <mergeCell ref="A23:F23"/>
    <mergeCell ref="J25:O25"/>
    <mergeCell ref="J55:O55"/>
    <mergeCell ref="J57:O57"/>
    <mergeCell ref="J64:O64"/>
    <mergeCell ref="J32:L32"/>
    <mergeCell ref="J43:L43"/>
    <mergeCell ref="J44:L44"/>
    <mergeCell ref="J47:O47"/>
    <mergeCell ref="J49:O49"/>
    <mergeCell ref="J52:L52"/>
  </mergeCells>
  <hyperlinks>
    <hyperlink ref="O21" r:id="rId1" location="v=onepage&amp;q=turton%20analysis%20synthesis%20third%20edition&amp;f=false" xr:uid="{003703D8-3696-48AF-BF22-CF5C973AC580}"/>
    <hyperlink ref="L26" r:id="rId2" location="v=onepage&amp;q=turton%20analysis%20synthesis%20third%20edition&amp;f=false" xr:uid="{EE1F99DE-EB8C-4EF5-9CB7-FB7E6D02D00E}"/>
    <hyperlink ref="L34" r:id="rId3" location="v=onepage&amp;q=turton%20analysis%20synthesis%20third%20edition&amp;f=false" xr:uid="{F554B31A-045D-42B0-92BA-D448031C6C4B}"/>
    <hyperlink ref="L50" r:id="rId4" xr:uid="{0B0643EF-497F-41DF-A79A-593BBBF6A763}"/>
    <hyperlink ref="C4" r:id="rId5" xr:uid="{156333CB-172D-45B3-8555-0525428BE2C9}"/>
    <hyperlink ref="C13" r:id="rId6" xr:uid="{ABAA56B8-9FF3-4B36-BE01-10DBEC50D594}"/>
    <hyperlink ref="C14" r:id="rId7" xr:uid="{E77291CC-B553-43F7-B7F8-84CC3B5CE45E}"/>
    <hyperlink ref="L27" r:id="rId8" xr:uid="{ABF0DAFE-83AA-4FEB-8FB1-4EE1927C46C1}"/>
    <hyperlink ref="L36" r:id="rId9" xr:uid="{AE3B6F4E-B0E7-402A-B0A4-54208C0210CC}"/>
    <hyperlink ref="C24" r:id="rId10" xr:uid="{6EDA011C-0DF8-4339-9129-9499DD27FC4B}"/>
    <hyperlink ref="C25" r:id="rId11" xr:uid="{07EB924F-C27E-412B-9F4C-36E1E58AC9CD}"/>
    <hyperlink ref="C20" r:id="rId12" xr:uid="{0E19661F-9031-417A-B3CA-C55738B706FA}"/>
  </hyperlinks>
  <pageMargins left="0.7" right="0.7" top="0.75" bottom="0.75" header="0.3" footer="0.3"/>
  <pageSetup paperSize="9" orientation="portrait" r:id="rId1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0A7BE-3F94-46A6-967F-A8B12AF71E9C}">
  <sheetPr>
    <tabColor theme="5" tint="0.39997558519241921"/>
  </sheetPr>
  <dimension ref="A1:O74"/>
  <sheetViews>
    <sheetView topLeftCell="A23" zoomScale="52" zoomScaleNormal="90" workbookViewId="0">
      <selection activeCell="M66" sqref="M66"/>
    </sheetView>
  </sheetViews>
  <sheetFormatPr defaultRowHeight="14.45"/>
  <cols>
    <col min="1" max="1" width="35.42578125" customWidth="1"/>
    <col min="4" max="4" width="17" customWidth="1"/>
    <col min="6" max="6" width="26.5703125" customWidth="1"/>
    <col min="10" max="10" width="35.5703125" customWidth="1"/>
    <col min="13" max="13" width="12" bestFit="1" customWidth="1"/>
    <col min="15" max="15" width="59.5703125" customWidth="1"/>
  </cols>
  <sheetData>
    <row r="1" spans="1:15" ht="15" thickBot="1">
      <c r="A1" s="117" t="s">
        <v>95</v>
      </c>
      <c r="B1" s="117"/>
      <c r="C1" s="117"/>
      <c r="D1" s="117"/>
      <c r="E1" s="117"/>
      <c r="F1" s="117"/>
      <c r="H1" s="104"/>
      <c r="J1" s="150" t="s">
        <v>1</v>
      </c>
      <c r="K1" s="151"/>
      <c r="L1" s="151"/>
      <c r="M1" s="151"/>
      <c r="N1" s="151"/>
      <c r="O1" s="152"/>
    </row>
    <row r="2" spans="1:15" ht="15" thickBot="1">
      <c r="A2" s="14"/>
      <c r="B2" s="14" t="s">
        <v>2</v>
      </c>
      <c r="C2" s="14" t="s">
        <v>3</v>
      </c>
      <c r="D2" s="14" t="s">
        <v>4</v>
      </c>
      <c r="E2" s="14" t="s">
        <v>5</v>
      </c>
      <c r="F2" s="14" t="s">
        <v>6</v>
      </c>
      <c r="H2" s="104"/>
      <c r="J2" s="1"/>
      <c r="K2" s="2" t="s">
        <v>2</v>
      </c>
      <c r="L2" s="3" t="s">
        <v>3</v>
      </c>
      <c r="M2" s="3" t="s">
        <v>4</v>
      </c>
      <c r="N2" s="3" t="s">
        <v>5</v>
      </c>
      <c r="O2" s="4" t="s">
        <v>6</v>
      </c>
    </row>
    <row r="3" spans="1:15" ht="15" thickBot="1">
      <c r="A3" s="14" t="s">
        <v>7</v>
      </c>
      <c r="B3" s="14" t="s">
        <v>8</v>
      </c>
      <c r="C3" s="12" t="s">
        <v>1</v>
      </c>
      <c r="D3" s="17">
        <f>M4</f>
        <v>28358988.496619519</v>
      </c>
      <c r="E3" s="14" t="s">
        <v>9</v>
      </c>
      <c r="F3" s="14"/>
      <c r="H3" s="104"/>
      <c r="J3" s="204" t="s">
        <v>96</v>
      </c>
      <c r="K3" s="205"/>
      <c r="L3" s="205"/>
      <c r="M3" s="205"/>
      <c r="N3" s="205"/>
      <c r="O3" s="206"/>
    </row>
    <row r="4" spans="1:15">
      <c r="A4" s="14" t="s">
        <v>12</v>
      </c>
      <c r="B4" s="14" t="s">
        <v>13</v>
      </c>
      <c r="C4" s="46" t="s">
        <v>14</v>
      </c>
      <c r="D4" s="14">
        <v>0.1</v>
      </c>
      <c r="E4" s="14" t="s">
        <v>11</v>
      </c>
      <c r="F4" s="14" t="s">
        <v>15</v>
      </c>
      <c r="H4" s="104"/>
      <c r="J4" s="94" t="s">
        <v>10</v>
      </c>
      <c r="K4" s="6" t="s">
        <v>11</v>
      </c>
      <c r="L4" s="7" t="s">
        <v>11</v>
      </c>
      <c r="M4" s="8">
        <f>M62+M65</f>
        <v>28358988.496619519</v>
      </c>
      <c r="N4" s="7" t="s">
        <v>9</v>
      </c>
      <c r="O4" s="9"/>
    </row>
    <row r="5" spans="1:15" ht="15" thickBot="1">
      <c r="A5" s="116" t="s">
        <v>97</v>
      </c>
      <c r="B5" s="116"/>
      <c r="C5" s="116"/>
      <c r="D5" s="145">
        <f>D3*(1+D4)+'Carbon Capture - MEA'!D5</f>
        <v>42666567.346281469</v>
      </c>
      <c r="E5" s="14" t="s">
        <v>9</v>
      </c>
      <c r="F5" s="14" t="s">
        <v>146</v>
      </c>
      <c r="H5" s="104"/>
      <c r="J5" s="19" t="s">
        <v>16</v>
      </c>
      <c r="K5" s="20" t="s">
        <v>11</v>
      </c>
      <c r="L5" s="21" t="s">
        <v>11</v>
      </c>
      <c r="M5" s="21">
        <f>M63+M66</f>
        <v>81480474.513969883</v>
      </c>
      <c r="N5" s="21" t="s">
        <v>17</v>
      </c>
      <c r="O5" s="22"/>
    </row>
    <row r="6" spans="1:15" ht="15" thickBot="1">
      <c r="H6" s="104"/>
    </row>
    <row r="7" spans="1:15" ht="15" thickBot="1">
      <c r="A7" s="118" t="s">
        <v>98</v>
      </c>
      <c r="B7" s="119"/>
      <c r="C7" s="119"/>
      <c r="D7" s="119"/>
      <c r="E7" s="119"/>
      <c r="F7" s="120"/>
      <c r="H7" s="104"/>
      <c r="J7" s="207" t="s">
        <v>19</v>
      </c>
      <c r="K7" s="208"/>
      <c r="L7" s="208"/>
      <c r="M7" s="208"/>
      <c r="N7" s="208"/>
      <c r="O7" s="209"/>
    </row>
    <row r="8" spans="1:15" ht="15" thickBot="1">
      <c r="A8" s="14"/>
      <c r="B8" s="14" t="s">
        <v>2</v>
      </c>
      <c r="C8" s="14" t="s">
        <v>22</v>
      </c>
      <c r="D8" s="14" t="s">
        <v>4</v>
      </c>
      <c r="E8" s="14" t="s">
        <v>5</v>
      </c>
      <c r="F8" s="14" t="s">
        <v>6</v>
      </c>
      <c r="H8" s="104"/>
      <c r="J8" s="83"/>
      <c r="K8" s="84" t="s">
        <v>2</v>
      </c>
      <c r="L8" s="85" t="s">
        <v>21</v>
      </c>
      <c r="M8" s="85" t="s">
        <v>4</v>
      </c>
      <c r="N8" s="85" t="s">
        <v>5</v>
      </c>
      <c r="O8" s="86" t="s">
        <v>6</v>
      </c>
    </row>
    <row r="9" spans="1:15" ht="15" thickBot="1">
      <c r="A9" s="14" t="s">
        <v>26</v>
      </c>
      <c r="B9" s="14" t="s">
        <v>27</v>
      </c>
      <c r="C9" s="74" t="s">
        <v>28</v>
      </c>
      <c r="D9" s="17">
        <f>M21</f>
        <v>2795643.632654205</v>
      </c>
      <c r="E9" s="14" t="s">
        <v>17</v>
      </c>
      <c r="F9" s="14"/>
      <c r="H9" s="104"/>
      <c r="J9" s="204" t="s">
        <v>99</v>
      </c>
      <c r="K9" s="205"/>
      <c r="L9" s="205"/>
      <c r="M9" s="205"/>
      <c r="N9" s="205"/>
      <c r="O9" s="206"/>
    </row>
    <row r="10" spans="1:15">
      <c r="A10" s="14" t="s">
        <v>31</v>
      </c>
      <c r="B10" s="14" t="s">
        <v>32</v>
      </c>
      <c r="C10" s="12" t="s">
        <v>1</v>
      </c>
      <c r="D10" s="14">
        <f>M5</f>
        <v>81480474.513969883</v>
      </c>
      <c r="E10" s="14" t="s">
        <v>17</v>
      </c>
      <c r="F10" s="14"/>
      <c r="H10" s="104"/>
      <c r="J10" s="94" t="s">
        <v>23</v>
      </c>
      <c r="K10" s="93" t="s">
        <v>24</v>
      </c>
      <c r="L10" s="87" t="s">
        <v>25</v>
      </c>
      <c r="M10" s="91">
        <f>(6.29+31.7*M19^2+0.23*M16)^0.5</f>
        <v>11.743934604722559</v>
      </c>
      <c r="N10" s="87" t="s">
        <v>11</v>
      </c>
      <c r="O10" s="88"/>
    </row>
    <row r="11" spans="1:15">
      <c r="A11" s="14" t="s">
        <v>34</v>
      </c>
      <c r="B11" s="14" t="s">
        <v>35</v>
      </c>
      <c r="C11" s="75" t="s">
        <v>36</v>
      </c>
      <c r="D11" s="14">
        <f>M44</f>
        <v>652942.08459779725</v>
      </c>
      <c r="E11" s="14" t="s">
        <v>17</v>
      </c>
      <c r="F11" s="14"/>
      <c r="H11" s="104"/>
      <c r="J11" s="10" t="s">
        <v>29</v>
      </c>
      <c r="K11" s="11" t="s">
        <v>11</v>
      </c>
      <c r="L11" s="12" t="s">
        <v>30</v>
      </c>
      <c r="M11" s="13">
        <v>3</v>
      </c>
      <c r="N11" s="14" t="s">
        <v>11</v>
      </c>
      <c r="O11" s="15"/>
    </row>
    <row r="12" spans="1:15">
      <c r="A12" s="14" t="s">
        <v>38</v>
      </c>
      <c r="B12" s="14" t="s">
        <v>39</v>
      </c>
      <c r="C12" s="76" t="s">
        <v>40</v>
      </c>
      <c r="D12" s="17">
        <v>0</v>
      </c>
      <c r="E12" s="14" t="s">
        <v>17</v>
      </c>
      <c r="F12" s="14" t="s">
        <v>100</v>
      </c>
      <c r="H12" s="104"/>
      <c r="J12" s="10" t="s">
        <v>33</v>
      </c>
      <c r="K12" s="11" t="s">
        <v>11</v>
      </c>
      <c r="L12" s="12" t="s">
        <v>30</v>
      </c>
      <c r="M12" s="13">
        <v>7</v>
      </c>
      <c r="N12" s="14" t="s">
        <v>11</v>
      </c>
      <c r="O12" s="15"/>
    </row>
    <row r="13" spans="1:15">
      <c r="A13" s="14" t="s">
        <v>42</v>
      </c>
      <c r="B13" s="14" t="s">
        <v>43</v>
      </c>
      <c r="C13" s="46" t="s">
        <v>14</v>
      </c>
      <c r="D13" s="14">
        <f>0.05*D5</f>
        <v>2133328.3673140737</v>
      </c>
      <c r="E13" s="14" t="s">
        <v>17</v>
      </c>
      <c r="F13" s="14" t="s">
        <v>44</v>
      </c>
      <c r="H13" s="104"/>
      <c r="J13" s="10" t="s">
        <v>37</v>
      </c>
      <c r="K13" s="11" t="s">
        <v>11</v>
      </c>
      <c r="L13" s="12" t="s">
        <v>30</v>
      </c>
      <c r="M13" s="13">
        <v>2</v>
      </c>
      <c r="N13" s="14" t="s">
        <v>11</v>
      </c>
      <c r="O13" s="15"/>
    </row>
    <row r="14" spans="1:15">
      <c r="A14" s="14" t="s">
        <v>46</v>
      </c>
      <c r="B14" s="14" t="s">
        <v>47</v>
      </c>
      <c r="C14" s="46" t="s">
        <v>14</v>
      </c>
      <c r="D14" s="14">
        <f>0.1*D5</f>
        <v>4266656.7346281474</v>
      </c>
      <c r="E14" s="14" t="s">
        <v>17</v>
      </c>
      <c r="F14" s="14" t="s">
        <v>48</v>
      </c>
      <c r="H14" s="104"/>
      <c r="J14" s="10" t="s">
        <v>41</v>
      </c>
      <c r="K14" s="11" t="s">
        <v>11</v>
      </c>
      <c r="L14" s="12" t="s">
        <v>30</v>
      </c>
      <c r="M14" s="13">
        <v>9</v>
      </c>
      <c r="N14" s="14" t="s">
        <v>11</v>
      </c>
      <c r="O14" s="15"/>
    </row>
    <row r="15" spans="1:15">
      <c r="A15" s="210" t="s">
        <v>101</v>
      </c>
      <c r="B15" s="210"/>
      <c r="C15" s="210"/>
      <c r="D15" s="145">
        <f>SUM(D9:D14)+'Carbon Capture - MEA'!D15</f>
        <v>99046339.133610949</v>
      </c>
      <c r="E15" s="14" t="s">
        <v>17</v>
      </c>
      <c r="F15" s="14" t="s">
        <v>146</v>
      </c>
      <c r="H15" s="104"/>
      <c r="J15" s="10" t="s">
        <v>45</v>
      </c>
      <c r="K15" s="11" t="s">
        <v>11</v>
      </c>
      <c r="L15" s="12" t="s">
        <v>30</v>
      </c>
      <c r="M15" s="13">
        <v>0</v>
      </c>
      <c r="N15" s="14" t="s">
        <v>11</v>
      </c>
      <c r="O15" s="15"/>
    </row>
    <row r="16" spans="1:15">
      <c r="H16" s="104"/>
      <c r="J16" s="16" t="s">
        <v>49</v>
      </c>
      <c r="K16" s="11" t="s">
        <v>50</v>
      </c>
      <c r="L16" s="14" t="s">
        <v>11</v>
      </c>
      <c r="M16" s="17">
        <f>SUM(M11:M15)</f>
        <v>21</v>
      </c>
      <c r="N16" s="14" t="s">
        <v>11</v>
      </c>
      <c r="O16" s="15"/>
    </row>
    <row r="17" spans="1:15">
      <c r="A17" s="203" t="s">
        <v>102</v>
      </c>
      <c r="B17" s="203"/>
      <c r="C17" s="203"/>
      <c r="D17" s="203"/>
      <c r="E17" s="203"/>
      <c r="F17" s="203"/>
      <c r="H17" s="104"/>
      <c r="J17" s="16" t="s">
        <v>52</v>
      </c>
      <c r="K17" s="11" t="s">
        <v>11</v>
      </c>
      <c r="L17" s="14" t="s">
        <v>11</v>
      </c>
      <c r="M17" s="18">
        <v>4.5</v>
      </c>
      <c r="N17" s="14" t="s">
        <v>11</v>
      </c>
      <c r="O17" s="15"/>
    </row>
    <row r="18" spans="1:15">
      <c r="A18" s="14"/>
      <c r="B18" s="14" t="s">
        <v>2</v>
      </c>
      <c r="C18" s="14" t="s">
        <v>3</v>
      </c>
      <c r="D18" s="14" t="s">
        <v>4</v>
      </c>
      <c r="E18" s="14" t="s">
        <v>5</v>
      </c>
      <c r="F18" s="14" t="s">
        <v>6</v>
      </c>
      <c r="H18" s="104"/>
      <c r="J18" s="16" t="s">
        <v>53</v>
      </c>
      <c r="K18" s="11" t="s">
        <v>54</v>
      </c>
      <c r="L18" s="14" t="s">
        <v>11</v>
      </c>
      <c r="M18" s="17">
        <f>M17*M10</f>
        <v>52.847705721251515</v>
      </c>
      <c r="N18" s="14" t="s">
        <v>11</v>
      </c>
      <c r="O18" s="15"/>
    </row>
    <row r="19" spans="1:15">
      <c r="A19" s="193" t="s">
        <v>103</v>
      </c>
      <c r="B19" s="193"/>
      <c r="C19" s="193"/>
      <c r="D19" s="193"/>
      <c r="E19" s="193"/>
      <c r="F19" s="193"/>
      <c r="H19" s="104"/>
      <c r="J19" s="16" t="s">
        <v>55</v>
      </c>
      <c r="K19" s="11" t="s">
        <v>56</v>
      </c>
      <c r="L19" s="12" t="s">
        <v>30</v>
      </c>
      <c r="M19" s="13">
        <v>2</v>
      </c>
      <c r="N19" s="14" t="s">
        <v>11</v>
      </c>
      <c r="O19" s="15" t="s">
        <v>57</v>
      </c>
    </row>
    <row r="20" spans="1:15" ht="15" thickBot="1">
      <c r="A20" s="14" t="s">
        <v>104</v>
      </c>
      <c r="B20" s="14" t="s">
        <v>11</v>
      </c>
      <c r="C20" s="46" t="s">
        <v>105</v>
      </c>
      <c r="D20" s="14">
        <v>0.64</v>
      </c>
      <c r="E20" s="14" t="s">
        <v>66</v>
      </c>
      <c r="F20" s="14" t="s">
        <v>147</v>
      </c>
      <c r="H20" s="104"/>
      <c r="J20" s="19" t="s">
        <v>58</v>
      </c>
      <c r="K20" s="53" t="s">
        <v>59</v>
      </c>
      <c r="L20" s="43" t="s">
        <v>11</v>
      </c>
      <c r="M20" s="18">
        <v>52900</v>
      </c>
      <c r="N20" s="14" t="s">
        <v>17</v>
      </c>
      <c r="O20" s="15"/>
    </row>
    <row r="21" spans="1:15" ht="14.1" customHeight="1" thickBot="1">
      <c r="A21" s="14" t="s">
        <v>106</v>
      </c>
      <c r="B21" s="14" t="s">
        <v>11</v>
      </c>
      <c r="C21" s="12" t="s">
        <v>1</v>
      </c>
      <c r="D21" s="13">
        <v>0</v>
      </c>
      <c r="E21" s="14" t="s">
        <v>71</v>
      </c>
      <c r="F21" s="14"/>
      <c r="H21" s="104"/>
      <c r="J21" s="175" t="s">
        <v>107</v>
      </c>
      <c r="K21" s="176"/>
      <c r="L21" s="177"/>
      <c r="M21" s="89">
        <f>M18*M20</f>
        <v>2795643.632654205</v>
      </c>
      <c r="N21" s="21" t="s">
        <v>17</v>
      </c>
      <c r="O21" s="92" t="s">
        <v>61</v>
      </c>
    </row>
    <row r="22" spans="1:15" ht="15" thickBot="1">
      <c r="A22" s="194" t="s">
        <v>108</v>
      </c>
      <c r="B22" s="195"/>
      <c r="C22" s="196"/>
      <c r="D22" s="14">
        <f>D21*D20</f>
        <v>0</v>
      </c>
      <c r="E22" s="14" t="s">
        <v>17</v>
      </c>
      <c r="F22" s="14"/>
      <c r="H22" s="104"/>
      <c r="J22" s="124"/>
      <c r="K22" s="124"/>
      <c r="L22" s="124"/>
      <c r="M22" s="82"/>
    </row>
    <row r="23" spans="1:15" ht="15" thickBot="1">
      <c r="A23" s="193" t="s">
        <v>96</v>
      </c>
      <c r="B23" s="193"/>
      <c r="C23" s="193"/>
      <c r="D23" s="193"/>
      <c r="E23" s="193"/>
      <c r="F23" s="193"/>
      <c r="H23" s="104"/>
      <c r="J23" s="110" t="s">
        <v>62</v>
      </c>
      <c r="K23" s="111"/>
      <c r="L23" s="111"/>
      <c r="M23" s="111"/>
      <c r="N23" s="111"/>
      <c r="O23" s="112"/>
    </row>
    <row r="24" spans="1:15" ht="15" thickBot="1">
      <c r="A24" s="14" t="s">
        <v>109</v>
      </c>
      <c r="B24" s="14" t="s">
        <v>11</v>
      </c>
      <c r="C24" s="46" t="s">
        <v>110</v>
      </c>
      <c r="D24" s="14">
        <v>0.83899999999999997</v>
      </c>
      <c r="E24" s="14" t="s">
        <v>66</v>
      </c>
      <c r="F24" s="14" t="s">
        <v>148</v>
      </c>
      <c r="H24" s="104"/>
      <c r="J24" s="23"/>
      <c r="K24" s="24" t="s">
        <v>2</v>
      </c>
      <c r="L24" s="25" t="s">
        <v>21</v>
      </c>
      <c r="M24" s="25" t="s">
        <v>4</v>
      </c>
      <c r="N24" s="25" t="s">
        <v>5</v>
      </c>
      <c r="O24" s="26" t="s">
        <v>6</v>
      </c>
    </row>
    <row r="25" spans="1:15" ht="15" thickBot="1">
      <c r="A25" s="14" t="s">
        <v>104</v>
      </c>
      <c r="B25" s="14" t="s">
        <v>11</v>
      </c>
      <c r="C25" s="143" t="s">
        <v>105</v>
      </c>
      <c r="D25" s="14">
        <v>0.64</v>
      </c>
      <c r="E25" s="14" t="s">
        <v>66</v>
      </c>
      <c r="F25" s="14"/>
      <c r="H25" s="104"/>
      <c r="J25" s="190" t="s">
        <v>103</v>
      </c>
      <c r="K25" s="191"/>
      <c r="L25" s="191"/>
      <c r="M25" s="191"/>
      <c r="N25" s="191"/>
      <c r="O25" s="192"/>
    </row>
    <row r="26" spans="1:15">
      <c r="A26" s="14" t="s">
        <v>111</v>
      </c>
      <c r="B26" s="14" t="s">
        <v>11</v>
      </c>
      <c r="C26" s="12" t="s">
        <v>1</v>
      </c>
      <c r="D26" s="13">
        <v>136030550.35095599</v>
      </c>
      <c r="E26" s="14" t="s">
        <v>71</v>
      </c>
      <c r="F26" s="14"/>
      <c r="H26" s="104"/>
      <c r="J26" s="27" t="s">
        <v>67</v>
      </c>
      <c r="K26" s="51" t="s">
        <v>11</v>
      </c>
      <c r="L26" s="97" t="s">
        <v>68</v>
      </c>
      <c r="M26" s="49">
        <v>1E-3</v>
      </c>
      <c r="N26" s="47" t="s">
        <v>66</v>
      </c>
      <c r="O26" s="50" t="s">
        <v>69</v>
      </c>
    </row>
    <row r="27" spans="1:15">
      <c r="A27" s="14" t="s">
        <v>106</v>
      </c>
      <c r="B27" s="14" t="s">
        <v>11</v>
      </c>
      <c r="C27" s="12" t="s">
        <v>1</v>
      </c>
      <c r="D27" s="13"/>
      <c r="E27" s="14" t="s">
        <v>71</v>
      </c>
      <c r="F27" s="14"/>
      <c r="H27" s="104"/>
      <c r="J27" s="16" t="s">
        <v>116</v>
      </c>
      <c r="K27" s="11" t="s">
        <v>11</v>
      </c>
      <c r="L27" s="46" t="s">
        <v>117</v>
      </c>
      <c r="M27" s="98">
        <v>141</v>
      </c>
      <c r="N27" s="14" t="s">
        <v>66</v>
      </c>
      <c r="O27" s="15"/>
    </row>
    <row r="28" spans="1:15">
      <c r="A28" s="200" t="s">
        <v>114</v>
      </c>
      <c r="B28" s="201"/>
      <c r="C28" s="202"/>
      <c r="D28" s="145">
        <f>D24*D26+D25*D27</f>
        <v>114129631.74445207</v>
      </c>
      <c r="E28" s="14" t="s">
        <v>17</v>
      </c>
      <c r="F28" s="14" t="s">
        <v>115</v>
      </c>
      <c r="H28" s="104"/>
      <c r="J28" s="33" t="s">
        <v>72</v>
      </c>
      <c r="K28" s="34" t="s">
        <v>11</v>
      </c>
      <c r="L28" s="78" t="s">
        <v>1</v>
      </c>
      <c r="M28" s="38">
        <v>189506000</v>
      </c>
      <c r="N28" s="36" t="s">
        <v>71</v>
      </c>
      <c r="O28" s="37"/>
    </row>
    <row r="29" spans="1:15">
      <c r="D29" s="82"/>
      <c r="H29" s="104"/>
      <c r="J29" s="33" t="s">
        <v>119</v>
      </c>
      <c r="K29" s="11" t="s">
        <v>11</v>
      </c>
      <c r="L29" s="78" t="s">
        <v>1</v>
      </c>
      <c r="M29" s="38">
        <v>0</v>
      </c>
      <c r="N29" s="14" t="s">
        <v>71</v>
      </c>
      <c r="O29" s="15"/>
    </row>
    <row r="30" spans="1:15">
      <c r="D30" s="82"/>
      <c r="H30" s="104"/>
      <c r="J30" s="33" t="s">
        <v>74</v>
      </c>
      <c r="K30" s="34" t="s">
        <v>11</v>
      </c>
      <c r="L30" s="36" t="s">
        <v>11</v>
      </c>
      <c r="M30" s="36">
        <f>M26*M28</f>
        <v>189506</v>
      </c>
      <c r="N30" s="36" t="s">
        <v>17</v>
      </c>
      <c r="O30" s="37"/>
    </row>
    <row r="31" spans="1:15" ht="15" thickBot="1">
      <c r="H31" s="104"/>
      <c r="J31" s="40" t="s">
        <v>121</v>
      </c>
      <c r="K31" s="53" t="s">
        <v>11</v>
      </c>
      <c r="L31" s="43" t="s">
        <v>11</v>
      </c>
      <c r="M31" s="36">
        <f>M27*M29</f>
        <v>0</v>
      </c>
      <c r="N31" s="14" t="s">
        <v>17</v>
      </c>
      <c r="O31" s="15"/>
    </row>
    <row r="32" spans="1:15" ht="15" thickBot="1">
      <c r="D32" s="146">
        <f>D28-D15</f>
        <v>15083292.610841125</v>
      </c>
      <c r="H32" s="104"/>
      <c r="J32" s="147" t="s">
        <v>122</v>
      </c>
      <c r="K32" s="148"/>
      <c r="L32" s="149"/>
      <c r="M32" s="53">
        <f>M30+M31</f>
        <v>189506</v>
      </c>
      <c r="N32" s="42" t="s">
        <v>17</v>
      </c>
      <c r="O32" s="55"/>
    </row>
    <row r="33" spans="8:15" ht="15" thickBot="1">
      <c r="H33" s="104"/>
      <c r="J33" s="121" t="s">
        <v>96</v>
      </c>
      <c r="K33" s="122"/>
      <c r="L33" s="122"/>
      <c r="M33" s="122"/>
      <c r="N33" s="122"/>
      <c r="O33" s="123"/>
    </row>
    <row r="34" spans="8:15">
      <c r="H34" s="104"/>
      <c r="J34" s="27" t="s">
        <v>67</v>
      </c>
      <c r="K34" s="51" t="s">
        <v>11</v>
      </c>
      <c r="L34" s="97" t="s">
        <v>68</v>
      </c>
      <c r="M34" s="49">
        <v>1E-3</v>
      </c>
      <c r="N34" s="47" t="s">
        <v>66</v>
      </c>
      <c r="O34" s="50" t="s">
        <v>69</v>
      </c>
    </row>
    <row r="35" spans="8:15">
      <c r="H35" s="104"/>
      <c r="J35" s="33" t="s">
        <v>86</v>
      </c>
      <c r="K35" s="11" t="s">
        <v>11</v>
      </c>
      <c r="L35" s="14" t="s">
        <v>68</v>
      </c>
      <c r="M35" s="80">
        <v>3.5000000000000001E-3</v>
      </c>
      <c r="N35" s="14" t="s">
        <v>87</v>
      </c>
      <c r="O35" s="15"/>
    </row>
    <row r="36" spans="8:15">
      <c r="H36" s="104"/>
      <c r="J36" s="33" t="s">
        <v>123</v>
      </c>
      <c r="K36" s="11" t="s">
        <v>11</v>
      </c>
      <c r="L36" s="46" t="s">
        <v>124</v>
      </c>
      <c r="M36" s="80">
        <v>0.32</v>
      </c>
      <c r="N36" s="14" t="s">
        <v>66</v>
      </c>
      <c r="O36" s="15"/>
    </row>
    <row r="37" spans="8:15">
      <c r="H37" s="104"/>
      <c r="J37" s="33" t="s">
        <v>72</v>
      </c>
      <c r="K37" s="11" t="s">
        <v>11</v>
      </c>
      <c r="L37" s="78" t="s">
        <v>1</v>
      </c>
      <c r="M37" s="38">
        <v>54956800</v>
      </c>
      <c r="N37" s="14" t="s">
        <v>71</v>
      </c>
      <c r="O37" s="15"/>
    </row>
    <row r="38" spans="8:15">
      <c r="H38" s="104"/>
      <c r="J38" s="33" t="s">
        <v>125</v>
      </c>
      <c r="K38" s="11" t="s">
        <v>11</v>
      </c>
      <c r="L38" s="78" t="s">
        <v>1</v>
      </c>
      <c r="M38" s="38">
        <v>116695000</v>
      </c>
      <c r="N38" s="14" t="s">
        <v>91</v>
      </c>
      <c r="O38" s="15"/>
    </row>
    <row r="39" spans="8:15" ht="101.45">
      <c r="H39" s="104"/>
      <c r="J39" s="33" t="s">
        <v>119</v>
      </c>
      <c r="K39" s="11" t="s">
        <v>11</v>
      </c>
      <c r="L39" s="78" t="s">
        <v>1</v>
      </c>
      <c r="M39" s="38">
        <f>2*2*36.5504670291087</f>
        <v>146.20186811643481</v>
      </c>
      <c r="N39" s="14" t="s">
        <v>71</v>
      </c>
      <c r="O39" s="129" t="s">
        <v>126</v>
      </c>
    </row>
    <row r="40" spans="8:15">
      <c r="H40" s="104"/>
      <c r="J40" s="33" t="s">
        <v>74</v>
      </c>
      <c r="K40" s="34" t="s">
        <v>11</v>
      </c>
      <c r="L40" s="14" t="s">
        <v>11</v>
      </c>
      <c r="M40" s="14">
        <f>M34*M37</f>
        <v>54956.800000000003</v>
      </c>
      <c r="N40" s="36" t="s">
        <v>17</v>
      </c>
      <c r="O40" s="37"/>
    </row>
    <row r="41" spans="8:15">
      <c r="H41" s="104"/>
      <c r="J41" s="33" t="s">
        <v>127</v>
      </c>
      <c r="K41" s="34" t="s">
        <v>11</v>
      </c>
      <c r="L41" s="36" t="s">
        <v>11</v>
      </c>
      <c r="M41" s="14">
        <f t="shared" ref="M41:M42" si="0">M35*M38</f>
        <v>408432.5</v>
      </c>
      <c r="N41" s="36" t="s">
        <v>17</v>
      </c>
      <c r="O41" s="37"/>
    </row>
    <row r="42" spans="8:15" ht="15" thickBot="1">
      <c r="H42" s="104"/>
      <c r="J42" s="40" t="s">
        <v>121</v>
      </c>
      <c r="K42" s="53" t="s">
        <v>11</v>
      </c>
      <c r="L42" s="43" t="s">
        <v>11</v>
      </c>
      <c r="M42" s="14">
        <f t="shared" si="0"/>
        <v>46.784597797259138</v>
      </c>
      <c r="N42" s="14" t="s">
        <v>17</v>
      </c>
      <c r="O42" s="15"/>
    </row>
    <row r="43" spans="8:15" ht="15" thickBot="1">
      <c r="H43" s="104"/>
      <c r="J43" s="147" t="s">
        <v>128</v>
      </c>
      <c r="K43" s="148"/>
      <c r="L43" s="149"/>
      <c r="M43" s="20">
        <f>M40+M41+M42</f>
        <v>463436.08459779725</v>
      </c>
      <c r="N43" s="59" t="s">
        <v>17</v>
      </c>
      <c r="O43" s="22"/>
    </row>
    <row r="44" spans="8:15" ht="15" thickBot="1">
      <c r="H44" s="104"/>
      <c r="J44" s="187" t="s">
        <v>75</v>
      </c>
      <c r="K44" s="188"/>
      <c r="L44" s="189"/>
      <c r="M44" s="1">
        <f>M32+M43</f>
        <v>652942.08459779725</v>
      </c>
      <c r="N44" s="57" t="s">
        <v>17</v>
      </c>
      <c r="O44" s="45"/>
    </row>
    <row r="45" spans="8:15">
      <c r="H45" s="104"/>
    </row>
    <row r="46" spans="8:15" ht="15" thickBot="1">
      <c r="H46" s="104"/>
    </row>
    <row r="47" spans="8:15" ht="15" thickBot="1">
      <c r="H47" s="104"/>
      <c r="J47" s="178" t="s">
        <v>76</v>
      </c>
      <c r="K47" s="179"/>
      <c r="L47" s="179"/>
      <c r="M47" s="179"/>
      <c r="N47" s="179"/>
      <c r="O47" s="180"/>
    </row>
    <row r="48" spans="8:15" ht="15" thickBot="1">
      <c r="H48" s="104"/>
      <c r="J48" s="57"/>
      <c r="K48" s="64" t="s">
        <v>2</v>
      </c>
      <c r="L48" s="65" t="s">
        <v>21</v>
      </c>
      <c r="M48" s="65" t="s">
        <v>4</v>
      </c>
      <c r="N48" s="65" t="s">
        <v>5</v>
      </c>
      <c r="O48" s="66" t="s">
        <v>6</v>
      </c>
    </row>
    <row r="49" spans="8:15" ht="15" thickBot="1">
      <c r="H49" s="104"/>
      <c r="J49" s="217" t="s">
        <v>129</v>
      </c>
      <c r="K49" s="218"/>
      <c r="L49" s="218"/>
      <c r="M49" s="218"/>
      <c r="N49" s="218"/>
      <c r="O49" s="219"/>
    </row>
    <row r="50" spans="8:15">
      <c r="H50" s="104"/>
      <c r="J50" s="94" t="s">
        <v>130</v>
      </c>
      <c r="K50" s="93" t="s">
        <v>11</v>
      </c>
      <c r="L50" s="48" t="s">
        <v>131</v>
      </c>
      <c r="M50" s="100">
        <v>5.47E-3</v>
      </c>
      <c r="N50" s="87" t="s">
        <v>66</v>
      </c>
      <c r="O50" s="88" t="s">
        <v>11</v>
      </c>
    </row>
    <row r="51" spans="8:15" ht="15" thickBot="1">
      <c r="H51" s="104"/>
      <c r="J51" s="39" t="s">
        <v>132</v>
      </c>
      <c r="K51" s="53" t="s">
        <v>11</v>
      </c>
      <c r="L51" s="101" t="s">
        <v>30</v>
      </c>
      <c r="M51" s="99">
        <v>17067600</v>
      </c>
      <c r="N51" s="14" t="s">
        <v>71</v>
      </c>
      <c r="O51" s="15" t="s">
        <v>133</v>
      </c>
    </row>
    <row r="52" spans="8:15" ht="15" thickBot="1">
      <c r="H52" s="104"/>
      <c r="J52" s="214" t="s">
        <v>134</v>
      </c>
      <c r="K52" s="215"/>
      <c r="L52" s="216"/>
      <c r="M52" s="89">
        <f>M51*M50</f>
        <v>93359.771999999997</v>
      </c>
      <c r="N52" s="21" t="s">
        <v>17</v>
      </c>
      <c r="O52" s="22" t="s">
        <v>11</v>
      </c>
    </row>
    <row r="53" spans="8:15">
      <c r="H53" s="104"/>
    </row>
    <row r="54" spans="8:15" ht="15" thickBot="1">
      <c r="H54" s="104"/>
    </row>
    <row r="55" spans="8:15" ht="15" thickBot="1">
      <c r="H55" s="104"/>
      <c r="J55" s="211" t="s">
        <v>135</v>
      </c>
      <c r="K55" s="212"/>
      <c r="L55" s="212"/>
      <c r="M55" s="212"/>
      <c r="N55" s="212"/>
      <c r="O55" s="213"/>
    </row>
    <row r="56" spans="8:15" ht="15" thickBot="1">
      <c r="H56" s="104"/>
      <c r="J56" s="126"/>
      <c r="K56" s="25" t="s">
        <v>2</v>
      </c>
      <c r="L56" s="25" t="s">
        <v>21</v>
      </c>
      <c r="M56" s="25" t="s">
        <v>4</v>
      </c>
      <c r="N56" s="25" t="s">
        <v>5</v>
      </c>
      <c r="O56" s="26" t="s">
        <v>6</v>
      </c>
    </row>
    <row r="57" spans="8:15" ht="15" thickBot="1">
      <c r="H57" s="104"/>
      <c r="J57" s="204" t="s">
        <v>1</v>
      </c>
      <c r="K57" s="205"/>
      <c r="L57" s="205"/>
      <c r="M57" s="205"/>
      <c r="N57" s="205"/>
      <c r="O57" s="206"/>
    </row>
    <row r="58" spans="8:15">
      <c r="H58" s="104"/>
      <c r="J58" s="94" t="s">
        <v>136</v>
      </c>
      <c r="K58" s="6"/>
      <c r="L58" s="7"/>
      <c r="M58" s="69">
        <v>230700</v>
      </c>
      <c r="N58" s="7" t="s">
        <v>9</v>
      </c>
      <c r="O58" s="9"/>
    </row>
    <row r="59" spans="8:15">
      <c r="H59" s="104"/>
      <c r="J59" s="16" t="s">
        <v>137</v>
      </c>
      <c r="K59" s="11"/>
      <c r="L59" s="14"/>
      <c r="M59" s="13">
        <v>3753900</v>
      </c>
      <c r="N59" s="14" t="s">
        <v>9</v>
      </c>
      <c r="O59" s="15"/>
    </row>
    <row r="60" spans="8:15">
      <c r="H60" s="104"/>
      <c r="J60" s="16" t="s">
        <v>138</v>
      </c>
      <c r="K60" s="11"/>
      <c r="L60" s="14"/>
      <c r="M60" s="14">
        <f>M58/M59</f>
        <v>6.1456085670902265E-2</v>
      </c>
      <c r="N60" s="14" t="s">
        <v>11</v>
      </c>
      <c r="O60" s="15"/>
    </row>
    <row r="61" spans="8:15">
      <c r="H61" s="104"/>
      <c r="J61" s="16" t="s">
        <v>0</v>
      </c>
      <c r="K61" s="11"/>
      <c r="L61" s="14"/>
      <c r="M61" s="13">
        <v>11777400</v>
      </c>
      <c r="N61" s="14" t="s">
        <v>9</v>
      </c>
      <c r="O61" s="15"/>
    </row>
    <row r="62" spans="8:15">
      <c r="H62" s="104"/>
      <c r="J62" s="16" t="s">
        <v>139</v>
      </c>
      <c r="K62" s="11"/>
      <c r="L62" s="14"/>
      <c r="M62" s="17">
        <f>M61-(M61*M60)</f>
        <v>11053607.096619517</v>
      </c>
      <c r="N62" s="14" t="s">
        <v>9</v>
      </c>
      <c r="O62" s="15"/>
    </row>
    <row r="63" spans="8:15" ht="15.95" thickBot="1">
      <c r="H63" s="104"/>
      <c r="J63" s="19" t="s">
        <v>16</v>
      </c>
      <c r="K63" s="53"/>
      <c r="L63" s="43"/>
      <c r="M63" s="144">
        <v>12838492.310000001</v>
      </c>
      <c r="N63" s="43" t="s">
        <v>17</v>
      </c>
      <c r="O63" s="55"/>
    </row>
    <row r="64" spans="8:15" ht="15" thickBot="1">
      <c r="H64" s="104"/>
      <c r="J64" s="204" t="s">
        <v>140</v>
      </c>
      <c r="K64" s="205"/>
      <c r="L64" s="205"/>
      <c r="M64" s="205"/>
      <c r="N64" s="205"/>
      <c r="O64" s="206"/>
    </row>
    <row r="65" spans="8:15">
      <c r="H65" s="104"/>
      <c r="J65" s="94" t="s">
        <v>141</v>
      </c>
      <c r="K65" s="6"/>
      <c r="L65" s="7"/>
      <c r="M65" s="127">
        <f>86526907 * 0.2</f>
        <v>17305381.400000002</v>
      </c>
      <c r="N65" s="7" t="s">
        <v>9</v>
      </c>
      <c r="O65" s="9"/>
    </row>
    <row r="66" spans="8:15" ht="15" thickBot="1">
      <c r="H66" s="104"/>
      <c r="J66" s="19" t="s">
        <v>16</v>
      </c>
      <c r="K66" s="20"/>
      <c r="L66" s="21"/>
      <c r="M66" s="125">
        <f>376072260/8766*8000 * 0.2</f>
        <v>68641982.203969881</v>
      </c>
      <c r="N66" s="21" t="s">
        <v>17</v>
      </c>
      <c r="O66" s="22"/>
    </row>
    <row r="67" spans="8:15">
      <c r="H67" s="104"/>
    </row>
    <row r="68" spans="8:15">
      <c r="H68" s="104"/>
    </row>
    <row r="69" spans="8:15">
      <c r="H69" s="104"/>
    </row>
    <row r="70" spans="8:15">
      <c r="H70" s="104"/>
    </row>
    <row r="71" spans="8:15">
      <c r="H71" s="104"/>
    </row>
    <row r="72" spans="8:15">
      <c r="H72" s="104"/>
      <c r="M72" s="82"/>
    </row>
    <row r="73" spans="8:15">
      <c r="H73" s="104"/>
    </row>
    <row r="74" spans="8:15">
      <c r="H74" s="104"/>
    </row>
  </sheetData>
  <mergeCells count="21">
    <mergeCell ref="J55:O55"/>
    <mergeCell ref="J57:O57"/>
    <mergeCell ref="J64:O64"/>
    <mergeCell ref="J32:L32"/>
    <mergeCell ref="J43:L43"/>
    <mergeCell ref="J44:L44"/>
    <mergeCell ref="J47:O47"/>
    <mergeCell ref="J49:O49"/>
    <mergeCell ref="J52:L52"/>
    <mergeCell ref="A28:C28"/>
    <mergeCell ref="J1:O1"/>
    <mergeCell ref="J3:O3"/>
    <mergeCell ref="J7:O7"/>
    <mergeCell ref="J9:O9"/>
    <mergeCell ref="A15:C15"/>
    <mergeCell ref="A17:F17"/>
    <mergeCell ref="A19:F19"/>
    <mergeCell ref="J21:L21"/>
    <mergeCell ref="A22:C22"/>
    <mergeCell ref="A23:F23"/>
    <mergeCell ref="J25:O25"/>
  </mergeCells>
  <hyperlinks>
    <hyperlink ref="O21" r:id="rId1" location="v=onepage&amp;q=turton%20analysis%20synthesis%20third%20edition&amp;f=false" xr:uid="{0D43EF72-58C2-4A91-8E0F-A6B648B548D0}"/>
    <hyperlink ref="L26" r:id="rId2" location="v=onepage&amp;q=turton%20analysis%20synthesis%20third%20edition&amp;f=false" xr:uid="{356FBDC1-21D6-40FA-AE8A-20320CFF9854}"/>
    <hyperlink ref="L34" r:id="rId3" location="v=onepage&amp;q=turton%20analysis%20synthesis%20third%20edition&amp;f=false" xr:uid="{EFE272CB-A094-483A-968E-BC1DAAE3A38D}"/>
    <hyperlink ref="L50" r:id="rId4" xr:uid="{617237E8-E513-43A0-B772-585F7D84A7B7}"/>
    <hyperlink ref="C4" r:id="rId5" xr:uid="{E0DD4964-AC70-445F-8EE9-9162A0093A52}"/>
    <hyperlink ref="C13" r:id="rId6" xr:uid="{3FEBE116-8F2C-4768-9AD8-7D4B46F7AD5D}"/>
    <hyperlink ref="C14" r:id="rId7" xr:uid="{E615FA89-8395-4931-85AE-BC1161E9343E}"/>
    <hyperlink ref="L27" r:id="rId8" xr:uid="{45FBEAF4-A64D-4488-8F2E-5A743EC97361}"/>
    <hyperlink ref="L36" r:id="rId9" xr:uid="{B9240AA1-4316-4759-88A5-14F772E74B06}"/>
    <hyperlink ref="C24" r:id="rId10" xr:uid="{9884959D-182F-4898-968D-A7271DC987CC}"/>
    <hyperlink ref="C25" r:id="rId11" xr:uid="{907C17C8-AA10-4CB4-A894-5D127EABD472}"/>
    <hyperlink ref="C20" r:id="rId12" xr:uid="{7106656E-5A8D-4F25-AAD3-2B3500229D4E}"/>
  </hyperlinks>
  <pageMargins left="0.7" right="0.7" top="0.75" bottom="0.75" header="0.3" footer="0.3"/>
  <pageSetup paperSize="9" orientation="portrait" r:id="rId1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9DC7A-DD60-4733-AEFB-E1C7B7F92039}">
  <sheetPr>
    <tabColor theme="5" tint="0.39997558519241921"/>
  </sheetPr>
  <dimension ref="A1:O74"/>
  <sheetViews>
    <sheetView tabSelected="1" zoomScale="52" zoomScaleNormal="90" workbookViewId="0">
      <selection activeCell="D15" sqref="D15"/>
    </sheetView>
  </sheetViews>
  <sheetFormatPr defaultRowHeight="14.45"/>
  <cols>
    <col min="1" max="1" width="35.42578125" customWidth="1"/>
    <col min="4" max="4" width="17" customWidth="1"/>
    <col min="6" max="6" width="26.5703125" customWidth="1"/>
    <col min="10" max="10" width="35.5703125" customWidth="1"/>
    <col min="13" max="13" width="12" bestFit="1" customWidth="1"/>
    <col min="15" max="15" width="59.5703125" customWidth="1"/>
  </cols>
  <sheetData>
    <row r="1" spans="1:15" ht="15" thickBot="1">
      <c r="A1" s="117" t="s">
        <v>95</v>
      </c>
      <c r="B1" s="117"/>
      <c r="C1" s="117"/>
      <c r="D1" s="117"/>
      <c r="E1" s="117"/>
      <c r="F1" s="117"/>
      <c r="H1" s="104"/>
      <c r="J1" s="150" t="s">
        <v>1</v>
      </c>
      <c r="K1" s="151"/>
      <c r="L1" s="151"/>
      <c r="M1" s="151"/>
      <c r="N1" s="151"/>
      <c r="O1" s="152"/>
    </row>
    <row r="2" spans="1:15" ht="15" thickBot="1">
      <c r="A2" s="14"/>
      <c r="B2" s="14" t="s">
        <v>2</v>
      </c>
      <c r="C2" s="14" t="s">
        <v>3</v>
      </c>
      <c r="D2" s="14" t="s">
        <v>4</v>
      </c>
      <c r="E2" s="14" t="s">
        <v>5</v>
      </c>
      <c r="F2" s="14" t="s">
        <v>6</v>
      </c>
      <c r="H2" s="104"/>
      <c r="J2" s="1"/>
      <c r="K2" s="2" t="s">
        <v>2</v>
      </c>
      <c r="L2" s="3" t="s">
        <v>3</v>
      </c>
      <c r="M2" s="3" t="s">
        <v>4</v>
      </c>
      <c r="N2" s="3" t="s">
        <v>5</v>
      </c>
      <c r="O2" s="4" t="s">
        <v>6</v>
      </c>
    </row>
    <row r="3" spans="1:15" ht="15" thickBot="1">
      <c r="A3" s="14" t="s">
        <v>7</v>
      </c>
      <c r="B3" s="14" t="s">
        <v>8</v>
      </c>
      <c r="C3" s="12" t="s">
        <v>1</v>
      </c>
      <c r="D3" s="17">
        <f>M4</f>
        <v>15379952.446619518</v>
      </c>
      <c r="E3" s="14" t="s">
        <v>9</v>
      </c>
      <c r="F3" s="14"/>
      <c r="H3" s="104"/>
      <c r="J3" s="204" t="s">
        <v>96</v>
      </c>
      <c r="K3" s="205"/>
      <c r="L3" s="205"/>
      <c r="M3" s="205"/>
      <c r="N3" s="205"/>
      <c r="O3" s="206"/>
    </row>
    <row r="4" spans="1:15">
      <c r="A4" s="14" t="s">
        <v>12</v>
      </c>
      <c r="B4" s="14" t="s">
        <v>13</v>
      </c>
      <c r="C4" s="46" t="s">
        <v>14</v>
      </c>
      <c r="D4" s="14">
        <v>0.1</v>
      </c>
      <c r="E4" s="14" t="s">
        <v>11</v>
      </c>
      <c r="F4" s="14" t="s">
        <v>15</v>
      </c>
      <c r="H4" s="104"/>
      <c r="J4" s="94" t="s">
        <v>10</v>
      </c>
      <c r="K4" s="6" t="s">
        <v>11</v>
      </c>
      <c r="L4" s="7" t="s">
        <v>11</v>
      </c>
      <c r="M4" s="8">
        <f>M62+M65</f>
        <v>15379952.446619518</v>
      </c>
      <c r="N4" s="7" t="s">
        <v>9</v>
      </c>
      <c r="O4" s="9"/>
    </row>
    <row r="5" spans="1:15" ht="15" thickBot="1">
      <c r="A5" s="116" t="s">
        <v>97</v>
      </c>
      <c r="B5" s="116"/>
      <c r="C5" s="116"/>
      <c r="D5" s="145">
        <f>D3*(1+D4)+'Carbon Capture - MEA'!D5</f>
        <v>28389627.691281471</v>
      </c>
      <c r="E5" s="14" t="s">
        <v>9</v>
      </c>
      <c r="F5" s="14" t="s">
        <v>146</v>
      </c>
      <c r="H5" s="104"/>
      <c r="J5" s="19" t="s">
        <v>16</v>
      </c>
      <c r="K5" s="20" t="s">
        <v>11</v>
      </c>
      <c r="L5" s="21" t="s">
        <v>11</v>
      </c>
      <c r="M5" s="21">
        <f>M63+M66</f>
        <v>29998987.860992469</v>
      </c>
      <c r="N5" s="21" t="s">
        <v>17</v>
      </c>
      <c r="O5" s="22"/>
    </row>
    <row r="6" spans="1:15" ht="15" thickBot="1">
      <c r="H6" s="104"/>
    </row>
    <row r="7" spans="1:15" ht="15" thickBot="1">
      <c r="A7" s="118" t="s">
        <v>98</v>
      </c>
      <c r="B7" s="119"/>
      <c r="C7" s="119"/>
      <c r="D7" s="119"/>
      <c r="E7" s="119"/>
      <c r="F7" s="120"/>
      <c r="H7" s="104"/>
      <c r="J7" s="207" t="s">
        <v>19</v>
      </c>
      <c r="K7" s="208"/>
      <c r="L7" s="208"/>
      <c r="M7" s="208"/>
      <c r="N7" s="208"/>
      <c r="O7" s="209"/>
    </row>
    <row r="8" spans="1:15" ht="15" thickBot="1">
      <c r="A8" s="14"/>
      <c r="B8" s="14" t="s">
        <v>2</v>
      </c>
      <c r="C8" s="14" t="s">
        <v>22</v>
      </c>
      <c r="D8" s="14" t="s">
        <v>4</v>
      </c>
      <c r="E8" s="14" t="s">
        <v>5</v>
      </c>
      <c r="F8" s="14" t="s">
        <v>6</v>
      </c>
      <c r="H8" s="104"/>
      <c r="J8" s="83"/>
      <c r="K8" s="84" t="s">
        <v>2</v>
      </c>
      <c r="L8" s="85" t="s">
        <v>21</v>
      </c>
      <c r="M8" s="85" t="s">
        <v>4</v>
      </c>
      <c r="N8" s="85" t="s">
        <v>5</v>
      </c>
      <c r="O8" s="86" t="s">
        <v>6</v>
      </c>
    </row>
    <row r="9" spans="1:15" ht="15" thickBot="1">
      <c r="A9" s="14" t="s">
        <v>26</v>
      </c>
      <c r="B9" s="14" t="s">
        <v>27</v>
      </c>
      <c r="C9" s="74" t="s">
        <v>28</v>
      </c>
      <c r="D9" s="17">
        <f>M21</f>
        <v>2795643.632654205</v>
      </c>
      <c r="E9" s="14" t="s">
        <v>17</v>
      </c>
      <c r="F9" s="14"/>
      <c r="H9" s="104"/>
      <c r="J9" s="204" t="s">
        <v>99</v>
      </c>
      <c r="K9" s="205"/>
      <c r="L9" s="205"/>
      <c r="M9" s="205"/>
      <c r="N9" s="205"/>
      <c r="O9" s="206"/>
    </row>
    <row r="10" spans="1:15">
      <c r="A10" s="14" t="s">
        <v>31</v>
      </c>
      <c r="B10" s="14" t="s">
        <v>32</v>
      </c>
      <c r="C10" s="12" t="s">
        <v>1</v>
      </c>
      <c r="D10" s="14">
        <f>M5</f>
        <v>29998987.860992469</v>
      </c>
      <c r="E10" s="14" t="s">
        <v>17</v>
      </c>
      <c r="F10" s="14"/>
      <c r="H10" s="104"/>
      <c r="J10" s="94" t="s">
        <v>23</v>
      </c>
      <c r="K10" s="93" t="s">
        <v>24</v>
      </c>
      <c r="L10" s="87" t="s">
        <v>25</v>
      </c>
      <c r="M10" s="91">
        <f>(6.29+31.7*M19^2+0.23*M16)^0.5</f>
        <v>11.743934604722559</v>
      </c>
      <c r="N10" s="87" t="s">
        <v>11</v>
      </c>
      <c r="O10" s="88"/>
    </row>
    <row r="11" spans="1:15">
      <c r="A11" s="14" t="s">
        <v>34</v>
      </c>
      <c r="B11" s="14" t="s">
        <v>35</v>
      </c>
      <c r="C11" s="75" t="s">
        <v>36</v>
      </c>
      <c r="D11" s="14">
        <f>M44</f>
        <v>652942.08459779725</v>
      </c>
      <c r="E11" s="14" t="s">
        <v>17</v>
      </c>
      <c r="F11" s="14"/>
      <c r="H11" s="104"/>
      <c r="J11" s="10" t="s">
        <v>29</v>
      </c>
      <c r="K11" s="11" t="s">
        <v>11</v>
      </c>
      <c r="L11" s="12" t="s">
        <v>30</v>
      </c>
      <c r="M11" s="13">
        <v>3</v>
      </c>
      <c r="N11" s="14" t="s">
        <v>11</v>
      </c>
      <c r="O11" s="15"/>
    </row>
    <row r="12" spans="1:15">
      <c r="A12" s="14" t="s">
        <v>38</v>
      </c>
      <c r="B12" s="14" t="s">
        <v>39</v>
      </c>
      <c r="C12" s="76" t="s">
        <v>40</v>
      </c>
      <c r="D12" s="17">
        <v>0</v>
      </c>
      <c r="E12" s="14" t="s">
        <v>17</v>
      </c>
      <c r="F12" s="14" t="s">
        <v>100</v>
      </c>
      <c r="H12" s="104"/>
      <c r="J12" s="10" t="s">
        <v>33</v>
      </c>
      <c r="K12" s="11" t="s">
        <v>11</v>
      </c>
      <c r="L12" s="12" t="s">
        <v>30</v>
      </c>
      <c r="M12" s="13">
        <v>7</v>
      </c>
      <c r="N12" s="14" t="s">
        <v>11</v>
      </c>
      <c r="O12" s="15"/>
    </row>
    <row r="13" spans="1:15">
      <c r="A13" s="14" t="s">
        <v>42</v>
      </c>
      <c r="B13" s="14" t="s">
        <v>43</v>
      </c>
      <c r="C13" s="46" t="s">
        <v>14</v>
      </c>
      <c r="D13" s="14">
        <f>0.05*D5</f>
        <v>1419481.3845640738</v>
      </c>
      <c r="E13" s="14" t="s">
        <v>17</v>
      </c>
      <c r="F13" s="14" t="s">
        <v>44</v>
      </c>
      <c r="H13" s="104"/>
      <c r="J13" s="10" t="s">
        <v>37</v>
      </c>
      <c r="K13" s="11" t="s">
        <v>11</v>
      </c>
      <c r="L13" s="12" t="s">
        <v>30</v>
      </c>
      <c r="M13" s="13">
        <v>2</v>
      </c>
      <c r="N13" s="14" t="s">
        <v>11</v>
      </c>
      <c r="O13" s="15"/>
    </row>
    <row r="14" spans="1:15">
      <c r="A14" s="14" t="s">
        <v>46</v>
      </c>
      <c r="B14" s="14" t="s">
        <v>47</v>
      </c>
      <c r="C14" s="46" t="s">
        <v>14</v>
      </c>
      <c r="D14" s="14">
        <f>0.1*D5</f>
        <v>2838962.7691281475</v>
      </c>
      <c r="E14" s="14" t="s">
        <v>17</v>
      </c>
      <c r="F14" s="14" t="s">
        <v>48</v>
      </c>
      <c r="H14" s="104"/>
      <c r="J14" s="10" t="s">
        <v>41</v>
      </c>
      <c r="K14" s="11" t="s">
        <v>11</v>
      </c>
      <c r="L14" s="12" t="s">
        <v>30</v>
      </c>
      <c r="M14" s="13">
        <v>9</v>
      </c>
      <c r="N14" s="14" t="s">
        <v>11</v>
      </c>
      <c r="O14" s="15"/>
    </row>
    <row r="15" spans="1:15">
      <c r="A15" s="210" t="s">
        <v>101</v>
      </c>
      <c r="B15" s="210"/>
      <c r="C15" s="210"/>
      <c r="D15" s="145">
        <f>SUM(D9:D14)+'Carbon Capture - MEA'!D15</f>
        <v>45423311.532383546</v>
      </c>
      <c r="E15" s="14" t="s">
        <v>17</v>
      </c>
      <c r="F15" s="14" t="s">
        <v>146</v>
      </c>
      <c r="H15" s="104"/>
      <c r="J15" s="10" t="s">
        <v>45</v>
      </c>
      <c r="K15" s="11" t="s">
        <v>11</v>
      </c>
      <c r="L15" s="12" t="s">
        <v>30</v>
      </c>
      <c r="M15" s="13">
        <v>0</v>
      </c>
      <c r="N15" s="14" t="s">
        <v>11</v>
      </c>
      <c r="O15" s="15"/>
    </row>
    <row r="16" spans="1:15">
      <c r="H16" s="104"/>
      <c r="J16" s="16" t="s">
        <v>49</v>
      </c>
      <c r="K16" s="11" t="s">
        <v>50</v>
      </c>
      <c r="L16" s="14" t="s">
        <v>11</v>
      </c>
      <c r="M16" s="17">
        <f>SUM(M11:M15)</f>
        <v>21</v>
      </c>
      <c r="N16" s="14" t="s">
        <v>11</v>
      </c>
      <c r="O16" s="15"/>
    </row>
    <row r="17" spans="1:15">
      <c r="A17" s="203" t="s">
        <v>102</v>
      </c>
      <c r="B17" s="203"/>
      <c r="C17" s="203"/>
      <c r="D17" s="203"/>
      <c r="E17" s="203"/>
      <c r="F17" s="203"/>
      <c r="H17" s="104"/>
      <c r="J17" s="16" t="s">
        <v>52</v>
      </c>
      <c r="K17" s="11" t="s">
        <v>11</v>
      </c>
      <c r="L17" s="14" t="s">
        <v>11</v>
      </c>
      <c r="M17" s="18">
        <v>4.5</v>
      </c>
      <c r="N17" s="14" t="s">
        <v>11</v>
      </c>
      <c r="O17" s="15"/>
    </row>
    <row r="18" spans="1:15">
      <c r="A18" s="14"/>
      <c r="B18" s="14" t="s">
        <v>2</v>
      </c>
      <c r="C18" s="14" t="s">
        <v>3</v>
      </c>
      <c r="D18" s="14" t="s">
        <v>4</v>
      </c>
      <c r="E18" s="14" t="s">
        <v>5</v>
      </c>
      <c r="F18" s="14" t="s">
        <v>6</v>
      </c>
      <c r="H18" s="104"/>
      <c r="J18" s="16" t="s">
        <v>53</v>
      </c>
      <c r="K18" s="11" t="s">
        <v>54</v>
      </c>
      <c r="L18" s="14" t="s">
        <v>11</v>
      </c>
      <c r="M18" s="17">
        <f>M17*M10</f>
        <v>52.847705721251515</v>
      </c>
      <c r="N18" s="14" t="s">
        <v>11</v>
      </c>
      <c r="O18" s="15"/>
    </row>
    <row r="19" spans="1:15">
      <c r="A19" s="193" t="s">
        <v>103</v>
      </c>
      <c r="B19" s="193"/>
      <c r="C19" s="193"/>
      <c r="D19" s="193"/>
      <c r="E19" s="193"/>
      <c r="F19" s="193"/>
      <c r="H19" s="104"/>
      <c r="J19" s="16" t="s">
        <v>55</v>
      </c>
      <c r="K19" s="11" t="s">
        <v>56</v>
      </c>
      <c r="L19" s="12" t="s">
        <v>30</v>
      </c>
      <c r="M19" s="13">
        <v>2</v>
      </c>
      <c r="N19" s="14" t="s">
        <v>11</v>
      </c>
      <c r="O19" s="15" t="s">
        <v>57</v>
      </c>
    </row>
    <row r="20" spans="1:15" ht="15" thickBot="1">
      <c r="A20" s="14" t="s">
        <v>104</v>
      </c>
      <c r="B20" s="14" t="s">
        <v>11</v>
      </c>
      <c r="C20" s="46" t="s">
        <v>105</v>
      </c>
      <c r="D20" s="14">
        <v>0.64</v>
      </c>
      <c r="E20" s="14" t="s">
        <v>66</v>
      </c>
      <c r="F20" s="14" t="s">
        <v>147</v>
      </c>
      <c r="H20" s="104"/>
      <c r="J20" s="19" t="s">
        <v>58</v>
      </c>
      <c r="K20" s="53" t="s">
        <v>59</v>
      </c>
      <c r="L20" s="43" t="s">
        <v>11</v>
      </c>
      <c r="M20" s="18">
        <v>52900</v>
      </c>
      <c r="N20" s="14" t="s">
        <v>17</v>
      </c>
      <c r="O20" s="15"/>
    </row>
    <row r="21" spans="1:15" ht="14.1" customHeight="1" thickBot="1">
      <c r="A21" s="14" t="s">
        <v>106</v>
      </c>
      <c r="B21" s="14" t="s">
        <v>11</v>
      </c>
      <c r="C21" s="12" t="s">
        <v>1</v>
      </c>
      <c r="D21" s="13">
        <v>0</v>
      </c>
      <c r="E21" s="14" t="s">
        <v>71</v>
      </c>
      <c r="F21" s="14"/>
      <c r="H21" s="104"/>
      <c r="J21" s="175" t="s">
        <v>107</v>
      </c>
      <c r="K21" s="176"/>
      <c r="L21" s="177"/>
      <c r="M21" s="89">
        <f>M18*M20</f>
        <v>2795643.632654205</v>
      </c>
      <c r="N21" s="21" t="s">
        <v>17</v>
      </c>
      <c r="O21" s="92" t="s">
        <v>61</v>
      </c>
    </row>
    <row r="22" spans="1:15" ht="15" thickBot="1">
      <c r="A22" s="194" t="s">
        <v>108</v>
      </c>
      <c r="B22" s="195"/>
      <c r="C22" s="196"/>
      <c r="D22" s="14">
        <f>D21*D20</f>
        <v>0</v>
      </c>
      <c r="E22" s="14" t="s">
        <v>17</v>
      </c>
      <c r="F22" s="14"/>
      <c r="H22" s="104"/>
      <c r="J22" s="124"/>
      <c r="K22" s="124"/>
      <c r="L22" s="124"/>
      <c r="M22" s="82"/>
    </row>
    <row r="23" spans="1:15" ht="15" thickBot="1">
      <c r="A23" s="193" t="s">
        <v>96</v>
      </c>
      <c r="B23" s="193"/>
      <c r="C23" s="193"/>
      <c r="D23" s="193"/>
      <c r="E23" s="193"/>
      <c r="F23" s="193"/>
      <c r="H23" s="104"/>
      <c r="J23" s="110" t="s">
        <v>62</v>
      </c>
      <c r="K23" s="111"/>
      <c r="L23" s="111"/>
      <c r="M23" s="111"/>
      <c r="N23" s="111"/>
      <c r="O23" s="112"/>
    </row>
    <row r="24" spans="1:15" ht="15" thickBot="1">
      <c r="A24" s="14" t="s">
        <v>109</v>
      </c>
      <c r="B24" s="14" t="s">
        <v>11</v>
      </c>
      <c r="C24" s="46" t="s">
        <v>110</v>
      </c>
      <c r="D24" s="14">
        <v>0.83899999999999997</v>
      </c>
      <c r="E24" s="14" t="s">
        <v>66</v>
      </c>
      <c r="F24" s="14" t="s">
        <v>148</v>
      </c>
      <c r="H24" s="104"/>
      <c r="J24" s="23"/>
      <c r="K24" s="24" t="s">
        <v>2</v>
      </c>
      <c r="L24" s="25" t="s">
        <v>21</v>
      </c>
      <c r="M24" s="25" t="s">
        <v>4</v>
      </c>
      <c r="N24" s="25" t="s">
        <v>5</v>
      </c>
      <c r="O24" s="26" t="s">
        <v>6</v>
      </c>
    </row>
    <row r="25" spans="1:15" ht="15" thickBot="1">
      <c r="A25" s="14" t="s">
        <v>104</v>
      </c>
      <c r="B25" s="14" t="s">
        <v>11</v>
      </c>
      <c r="C25" s="143" t="s">
        <v>105</v>
      </c>
      <c r="D25" s="14">
        <v>0.64</v>
      </c>
      <c r="E25" s="14" t="s">
        <v>66</v>
      </c>
      <c r="F25" s="14"/>
      <c r="H25" s="104"/>
      <c r="J25" s="190" t="s">
        <v>103</v>
      </c>
      <c r="K25" s="191"/>
      <c r="L25" s="191"/>
      <c r="M25" s="191"/>
      <c r="N25" s="191"/>
      <c r="O25" s="192"/>
    </row>
    <row r="26" spans="1:15">
      <c r="A26" s="14" t="s">
        <v>111</v>
      </c>
      <c r="B26" s="14" t="s">
        <v>11</v>
      </c>
      <c r="C26" s="12" t="s">
        <v>1</v>
      </c>
      <c r="D26" s="13">
        <v>136030550.35095599</v>
      </c>
      <c r="E26" s="14" t="s">
        <v>71</v>
      </c>
      <c r="F26" s="14"/>
      <c r="H26" s="104"/>
      <c r="J26" s="27" t="s">
        <v>67</v>
      </c>
      <c r="K26" s="51" t="s">
        <v>11</v>
      </c>
      <c r="L26" s="97" t="s">
        <v>68</v>
      </c>
      <c r="M26" s="49">
        <v>1E-3</v>
      </c>
      <c r="N26" s="47" t="s">
        <v>66</v>
      </c>
      <c r="O26" s="50" t="s">
        <v>69</v>
      </c>
    </row>
    <row r="27" spans="1:15">
      <c r="A27" s="14" t="s">
        <v>106</v>
      </c>
      <c r="B27" s="14" t="s">
        <v>11</v>
      </c>
      <c r="C27" s="12" t="s">
        <v>1</v>
      </c>
      <c r="D27" s="13"/>
      <c r="E27" s="14" t="s">
        <v>71</v>
      </c>
      <c r="F27" s="14"/>
      <c r="H27" s="104"/>
      <c r="J27" s="16" t="s">
        <v>116</v>
      </c>
      <c r="K27" s="11" t="s">
        <v>11</v>
      </c>
      <c r="L27" s="46" t="s">
        <v>117</v>
      </c>
      <c r="M27" s="98">
        <v>141</v>
      </c>
      <c r="N27" s="14" t="s">
        <v>66</v>
      </c>
      <c r="O27" s="15"/>
    </row>
    <row r="28" spans="1:15">
      <c r="A28" s="200" t="s">
        <v>114</v>
      </c>
      <c r="B28" s="201"/>
      <c r="C28" s="202"/>
      <c r="D28" s="145">
        <f>D24*D26+D25*D27</f>
        <v>114129631.74445207</v>
      </c>
      <c r="E28" s="14" t="s">
        <v>17</v>
      </c>
      <c r="F28" s="14" t="s">
        <v>115</v>
      </c>
      <c r="H28" s="104"/>
      <c r="J28" s="33" t="s">
        <v>72</v>
      </c>
      <c r="K28" s="34" t="s">
        <v>11</v>
      </c>
      <c r="L28" s="78" t="s">
        <v>1</v>
      </c>
      <c r="M28" s="38">
        <v>189506000</v>
      </c>
      <c r="N28" s="36" t="s">
        <v>71</v>
      </c>
      <c r="O28" s="37"/>
    </row>
    <row r="29" spans="1:15">
      <c r="D29" s="82"/>
      <c r="H29" s="104"/>
      <c r="J29" s="33" t="s">
        <v>119</v>
      </c>
      <c r="K29" s="11" t="s">
        <v>11</v>
      </c>
      <c r="L29" s="78" t="s">
        <v>1</v>
      </c>
      <c r="M29" s="38">
        <v>0</v>
      </c>
      <c r="N29" s="14" t="s">
        <v>71</v>
      </c>
      <c r="O29" s="15"/>
    </row>
    <row r="30" spans="1:15">
      <c r="D30" s="82"/>
      <c r="H30" s="104"/>
      <c r="J30" s="33" t="s">
        <v>74</v>
      </c>
      <c r="K30" s="34" t="s">
        <v>11</v>
      </c>
      <c r="L30" s="36" t="s">
        <v>11</v>
      </c>
      <c r="M30" s="36">
        <f>M26*M28</f>
        <v>189506</v>
      </c>
      <c r="N30" s="36" t="s">
        <v>17</v>
      </c>
      <c r="O30" s="37"/>
    </row>
    <row r="31" spans="1:15" ht="15" thickBot="1">
      <c r="H31" s="104"/>
      <c r="J31" s="40" t="s">
        <v>121</v>
      </c>
      <c r="K31" s="53" t="s">
        <v>11</v>
      </c>
      <c r="L31" s="43" t="s">
        <v>11</v>
      </c>
      <c r="M31" s="36">
        <f>M27*M29</f>
        <v>0</v>
      </c>
      <c r="N31" s="14" t="s">
        <v>17</v>
      </c>
      <c r="O31" s="15"/>
    </row>
    <row r="32" spans="1:15" ht="15" thickBot="1">
      <c r="D32" s="146">
        <f>D28-D15</f>
        <v>68706320.212068528</v>
      </c>
      <c r="H32" s="104"/>
      <c r="J32" s="147" t="s">
        <v>122</v>
      </c>
      <c r="K32" s="148"/>
      <c r="L32" s="149"/>
      <c r="M32" s="53">
        <f>M30+M31</f>
        <v>189506</v>
      </c>
      <c r="N32" s="42" t="s">
        <v>17</v>
      </c>
      <c r="O32" s="55"/>
    </row>
    <row r="33" spans="8:15" ht="15" thickBot="1">
      <c r="H33" s="104"/>
      <c r="J33" s="121" t="s">
        <v>96</v>
      </c>
      <c r="K33" s="122"/>
      <c r="L33" s="122"/>
      <c r="M33" s="122"/>
      <c r="N33" s="122"/>
      <c r="O33" s="123"/>
    </row>
    <row r="34" spans="8:15">
      <c r="H34" s="104"/>
      <c r="J34" s="27" t="s">
        <v>67</v>
      </c>
      <c r="K34" s="51" t="s">
        <v>11</v>
      </c>
      <c r="L34" s="97" t="s">
        <v>68</v>
      </c>
      <c r="M34" s="49">
        <v>1E-3</v>
      </c>
      <c r="N34" s="47" t="s">
        <v>66</v>
      </c>
      <c r="O34" s="50" t="s">
        <v>69</v>
      </c>
    </row>
    <row r="35" spans="8:15">
      <c r="H35" s="104"/>
      <c r="J35" s="33" t="s">
        <v>86</v>
      </c>
      <c r="K35" s="11" t="s">
        <v>11</v>
      </c>
      <c r="L35" s="14" t="s">
        <v>68</v>
      </c>
      <c r="M35" s="80">
        <v>3.5000000000000001E-3</v>
      </c>
      <c r="N35" s="14" t="s">
        <v>87</v>
      </c>
      <c r="O35" s="15"/>
    </row>
    <row r="36" spans="8:15">
      <c r="H36" s="104"/>
      <c r="J36" s="33" t="s">
        <v>123</v>
      </c>
      <c r="K36" s="11" t="s">
        <v>11</v>
      </c>
      <c r="L36" s="46" t="s">
        <v>124</v>
      </c>
      <c r="M36" s="80">
        <v>0.32</v>
      </c>
      <c r="N36" s="14" t="s">
        <v>66</v>
      </c>
      <c r="O36" s="15"/>
    </row>
    <row r="37" spans="8:15">
      <c r="H37" s="104"/>
      <c r="J37" s="33" t="s">
        <v>72</v>
      </c>
      <c r="K37" s="11" t="s">
        <v>11</v>
      </c>
      <c r="L37" s="78" t="s">
        <v>1</v>
      </c>
      <c r="M37" s="38">
        <v>54956800</v>
      </c>
      <c r="N37" s="14" t="s">
        <v>71</v>
      </c>
      <c r="O37" s="15"/>
    </row>
    <row r="38" spans="8:15">
      <c r="H38" s="104"/>
      <c r="J38" s="33" t="s">
        <v>125</v>
      </c>
      <c r="K38" s="11" t="s">
        <v>11</v>
      </c>
      <c r="L38" s="78" t="s">
        <v>1</v>
      </c>
      <c r="M38" s="38">
        <v>116695000</v>
      </c>
      <c r="N38" s="14" t="s">
        <v>91</v>
      </c>
      <c r="O38" s="15"/>
    </row>
    <row r="39" spans="8:15" ht="101.45">
      <c r="H39" s="104"/>
      <c r="J39" s="33" t="s">
        <v>119</v>
      </c>
      <c r="K39" s="11" t="s">
        <v>11</v>
      </c>
      <c r="L39" s="78" t="s">
        <v>1</v>
      </c>
      <c r="M39" s="38">
        <f>2*2*36.5504670291087</f>
        <v>146.20186811643481</v>
      </c>
      <c r="N39" s="14" t="s">
        <v>71</v>
      </c>
      <c r="O39" s="129" t="s">
        <v>126</v>
      </c>
    </row>
    <row r="40" spans="8:15">
      <c r="H40" s="104"/>
      <c r="J40" s="33" t="s">
        <v>74</v>
      </c>
      <c r="K40" s="34" t="s">
        <v>11</v>
      </c>
      <c r="L40" s="14" t="s">
        <v>11</v>
      </c>
      <c r="M40" s="14">
        <f>M34*M37</f>
        <v>54956.800000000003</v>
      </c>
      <c r="N40" s="36" t="s">
        <v>17</v>
      </c>
      <c r="O40" s="37"/>
    </row>
    <row r="41" spans="8:15">
      <c r="H41" s="104"/>
      <c r="J41" s="33" t="s">
        <v>127</v>
      </c>
      <c r="K41" s="34" t="s">
        <v>11</v>
      </c>
      <c r="L41" s="36" t="s">
        <v>11</v>
      </c>
      <c r="M41" s="14">
        <f t="shared" ref="M41:M42" si="0">M35*M38</f>
        <v>408432.5</v>
      </c>
      <c r="N41" s="36" t="s">
        <v>17</v>
      </c>
      <c r="O41" s="37"/>
    </row>
    <row r="42" spans="8:15" ht="15" thickBot="1">
      <c r="H42" s="104"/>
      <c r="J42" s="40" t="s">
        <v>121</v>
      </c>
      <c r="K42" s="53" t="s">
        <v>11</v>
      </c>
      <c r="L42" s="43" t="s">
        <v>11</v>
      </c>
      <c r="M42" s="14">
        <f t="shared" si="0"/>
        <v>46.784597797259138</v>
      </c>
      <c r="N42" s="14" t="s">
        <v>17</v>
      </c>
      <c r="O42" s="15"/>
    </row>
    <row r="43" spans="8:15" ht="15" thickBot="1">
      <c r="H43" s="104"/>
      <c r="J43" s="147" t="s">
        <v>128</v>
      </c>
      <c r="K43" s="148"/>
      <c r="L43" s="149"/>
      <c r="M43" s="20">
        <f>M40+M41+M42</f>
        <v>463436.08459779725</v>
      </c>
      <c r="N43" s="59" t="s">
        <v>17</v>
      </c>
      <c r="O43" s="22"/>
    </row>
    <row r="44" spans="8:15" ht="15" thickBot="1">
      <c r="H44" s="104"/>
      <c r="J44" s="187" t="s">
        <v>75</v>
      </c>
      <c r="K44" s="188"/>
      <c r="L44" s="189"/>
      <c r="M44" s="1">
        <f>M32+M43</f>
        <v>652942.08459779725</v>
      </c>
      <c r="N44" s="57" t="s">
        <v>17</v>
      </c>
      <c r="O44" s="45"/>
    </row>
    <row r="45" spans="8:15">
      <c r="H45" s="104"/>
    </row>
    <row r="46" spans="8:15" ht="15" thickBot="1">
      <c r="H46" s="104"/>
    </row>
    <row r="47" spans="8:15" ht="15" thickBot="1">
      <c r="H47" s="104"/>
      <c r="J47" s="178" t="s">
        <v>76</v>
      </c>
      <c r="K47" s="179"/>
      <c r="L47" s="179"/>
      <c r="M47" s="179"/>
      <c r="N47" s="179"/>
      <c r="O47" s="180"/>
    </row>
    <row r="48" spans="8:15" ht="15" thickBot="1">
      <c r="H48" s="104"/>
      <c r="J48" s="57"/>
      <c r="K48" s="64" t="s">
        <v>2</v>
      </c>
      <c r="L48" s="65" t="s">
        <v>21</v>
      </c>
      <c r="M48" s="65" t="s">
        <v>4</v>
      </c>
      <c r="N48" s="65" t="s">
        <v>5</v>
      </c>
      <c r="O48" s="66" t="s">
        <v>6</v>
      </c>
    </row>
    <row r="49" spans="8:15" ht="15" thickBot="1">
      <c r="H49" s="104"/>
      <c r="J49" s="217" t="s">
        <v>129</v>
      </c>
      <c r="K49" s="218"/>
      <c r="L49" s="218"/>
      <c r="M49" s="218"/>
      <c r="N49" s="218"/>
      <c r="O49" s="219"/>
    </row>
    <row r="50" spans="8:15">
      <c r="H50" s="104"/>
      <c r="J50" s="94" t="s">
        <v>130</v>
      </c>
      <c r="K50" s="93" t="s">
        <v>11</v>
      </c>
      <c r="L50" s="48" t="s">
        <v>131</v>
      </c>
      <c r="M50" s="100">
        <v>5.47E-3</v>
      </c>
      <c r="N50" s="87" t="s">
        <v>66</v>
      </c>
      <c r="O50" s="88" t="s">
        <v>11</v>
      </c>
    </row>
    <row r="51" spans="8:15" ht="15" thickBot="1">
      <c r="H51" s="104"/>
      <c r="J51" s="39" t="s">
        <v>132</v>
      </c>
      <c r="K51" s="53" t="s">
        <v>11</v>
      </c>
      <c r="L51" s="101" t="s">
        <v>30</v>
      </c>
      <c r="M51" s="99">
        <v>17067600</v>
      </c>
      <c r="N51" s="14" t="s">
        <v>71</v>
      </c>
      <c r="O51" s="15" t="s">
        <v>133</v>
      </c>
    </row>
    <row r="52" spans="8:15" ht="15" thickBot="1">
      <c r="H52" s="104"/>
      <c r="J52" s="214" t="s">
        <v>134</v>
      </c>
      <c r="K52" s="215"/>
      <c r="L52" s="216"/>
      <c r="M52" s="89">
        <f>M51*M50</f>
        <v>93359.771999999997</v>
      </c>
      <c r="N52" s="21" t="s">
        <v>17</v>
      </c>
      <c r="O52" s="22" t="s">
        <v>11</v>
      </c>
    </row>
    <row r="53" spans="8:15">
      <c r="H53" s="104"/>
    </row>
    <row r="54" spans="8:15" ht="15" thickBot="1">
      <c r="H54" s="104"/>
    </row>
    <row r="55" spans="8:15" ht="15" thickBot="1">
      <c r="H55" s="104"/>
      <c r="J55" s="211" t="s">
        <v>135</v>
      </c>
      <c r="K55" s="212"/>
      <c r="L55" s="212"/>
      <c r="M55" s="212"/>
      <c r="N55" s="212"/>
      <c r="O55" s="213"/>
    </row>
    <row r="56" spans="8:15" ht="15" thickBot="1">
      <c r="H56" s="104"/>
      <c r="J56" s="126"/>
      <c r="K56" s="25" t="s">
        <v>2</v>
      </c>
      <c r="L56" s="25" t="s">
        <v>21</v>
      </c>
      <c r="M56" s="25" t="s">
        <v>4</v>
      </c>
      <c r="N56" s="25" t="s">
        <v>5</v>
      </c>
      <c r="O56" s="26" t="s">
        <v>6</v>
      </c>
    </row>
    <row r="57" spans="8:15" ht="15" thickBot="1">
      <c r="H57" s="104"/>
      <c r="J57" s="204" t="s">
        <v>1</v>
      </c>
      <c r="K57" s="205"/>
      <c r="L57" s="205"/>
      <c r="M57" s="205"/>
      <c r="N57" s="205"/>
      <c r="O57" s="206"/>
    </row>
    <row r="58" spans="8:15">
      <c r="H58" s="104"/>
      <c r="J58" s="94" t="s">
        <v>136</v>
      </c>
      <c r="K58" s="6"/>
      <c r="L58" s="7"/>
      <c r="M58" s="69">
        <v>230700</v>
      </c>
      <c r="N58" s="7" t="s">
        <v>9</v>
      </c>
      <c r="O58" s="9"/>
    </row>
    <row r="59" spans="8:15">
      <c r="H59" s="104"/>
      <c r="J59" s="16" t="s">
        <v>137</v>
      </c>
      <c r="K59" s="11"/>
      <c r="L59" s="14"/>
      <c r="M59" s="13">
        <v>3753900</v>
      </c>
      <c r="N59" s="14" t="s">
        <v>9</v>
      </c>
      <c r="O59" s="15"/>
    </row>
    <row r="60" spans="8:15">
      <c r="H60" s="104"/>
      <c r="J60" s="16" t="s">
        <v>138</v>
      </c>
      <c r="K60" s="11"/>
      <c r="L60" s="14"/>
      <c r="M60" s="14">
        <f>M58/M59</f>
        <v>6.1456085670902265E-2</v>
      </c>
      <c r="N60" s="14" t="s">
        <v>11</v>
      </c>
      <c r="O60" s="15"/>
    </row>
    <row r="61" spans="8:15">
      <c r="H61" s="104"/>
      <c r="J61" s="16" t="s">
        <v>0</v>
      </c>
      <c r="K61" s="11"/>
      <c r="L61" s="14"/>
      <c r="M61" s="13">
        <v>11777400</v>
      </c>
      <c r="N61" s="14" t="s">
        <v>9</v>
      </c>
      <c r="O61" s="15"/>
    </row>
    <row r="62" spans="8:15">
      <c r="H62" s="104"/>
      <c r="J62" s="16" t="s">
        <v>139</v>
      </c>
      <c r="K62" s="11"/>
      <c r="L62" s="14"/>
      <c r="M62" s="17">
        <f>M61-(M61*M60)</f>
        <v>11053607.096619517</v>
      </c>
      <c r="N62" s="14" t="s">
        <v>9</v>
      </c>
      <c r="O62" s="15"/>
    </row>
    <row r="63" spans="8:15" ht="15.95" thickBot="1">
      <c r="H63" s="104"/>
      <c r="J63" s="19" t="s">
        <v>16</v>
      </c>
      <c r="K63" s="53"/>
      <c r="L63" s="43"/>
      <c r="M63" s="144">
        <v>12838492.310000001</v>
      </c>
      <c r="N63" s="43" t="s">
        <v>17</v>
      </c>
      <c r="O63" s="55"/>
    </row>
    <row r="64" spans="8:15" ht="15" thickBot="1">
      <c r="H64" s="104"/>
      <c r="J64" s="204" t="s">
        <v>140</v>
      </c>
      <c r="K64" s="205"/>
      <c r="L64" s="205"/>
      <c r="M64" s="205"/>
      <c r="N64" s="205"/>
      <c r="O64" s="206"/>
    </row>
    <row r="65" spans="8:15">
      <c r="H65" s="104"/>
      <c r="J65" s="94" t="s">
        <v>141</v>
      </c>
      <c r="K65" s="6"/>
      <c r="L65" s="7"/>
      <c r="M65" s="127">
        <f>86526907 * 0.05</f>
        <v>4326345.3500000006</v>
      </c>
      <c r="N65" s="7" t="s">
        <v>9</v>
      </c>
      <c r="O65" s="9"/>
    </row>
    <row r="66" spans="8:15" ht="15" thickBot="1">
      <c r="H66" s="104"/>
      <c r="J66" s="19" t="s">
        <v>16</v>
      </c>
      <c r="K66" s="20"/>
      <c r="L66" s="21"/>
      <c r="M66" s="125">
        <f>376072260/8766*8000 * 0.05</f>
        <v>17160495.55099247</v>
      </c>
      <c r="N66" s="21" t="s">
        <v>17</v>
      </c>
      <c r="O66" s="22"/>
    </row>
    <row r="67" spans="8:15">
      <c r="H67" s="104"/>
    </row>
    <row r="68" spans="8:15">
      <c r="H68" s="104"/>
    </row>
    <row r="69" spans="8:15">
      <c r="H69" s="104"/>
    </row>
    <row r="70" spans="8:15">
      <c r="H70" s="104"/>
    </row>
    <row r="71" spans="8:15">
      <c r="H71" s="104"/>
    </row>
    <row r="72" spans="8:15">
      <c r="H72" s="104"/>
      <c r="M72" s="82"/>
    </row>
    <row r="73" spans="8:15">
      <c r="H73" s="104"/>
    </row>
    <row r="74" spans="8:15">
      <c r="H74" s="104"/>
    </row>
  </sheetData>
  <mergeCells count="21">
    <mergeCell ref="J55:O55"/>
    <mergeCell ref="J57:O57"/>
    <mergeCell ref="J64:O64"/>
    <mergeCell ref="J32:L32"/>
    <mergeCell ref="J43:L43"/>
    <mergeCell ref="J44:L44"/>
    <mergeCell ref="J47:O47"/>
    <mergeCell ref="J49:O49"/>
    <mergeCell ref="J52:L52"/>
    <mergeCell ref="A28:C28"/>
    <mergeCell ref="J1:O1"/>
    <mergeCell ref="J3:O3"/>
    <mergeCell ref="J7:O7"/>
    <mergeCell ref="J9:O9"/>
    <mergeCell ref="A15:C15"/>
    <mergeCell ref="A17:F17"/>
    <mergeCell ref="A19:F19"/>
    <mergeCell ref="J21:L21"/>
    <mergeCell ref="A22:C22"/>
    <mergeCell ref="A23:F23"/>
    <mergeCell ref="J25:O25"/>
  </mergeCells>
  <hyperlinks>
    <hyperlink ref="O21" r:id="rId1" location="v=onepage&amp;q=turton%20analysis%20synthesis%20third%20edition&amp;f=false" xr:uid="{BB9201BD-51B2-46C1-A5F1-431F5B2E14C2}"/>
    <hyperlink ref="L26" r:id="rId2" location="v=onepage&amp;q=turton%20analysis%20synthesis%20third%20edition&amp;f=false" xr:uid="{640E9EFC-3121-4A5F-91E6-2A6CBA8B9D28}"/>
    <hyperlink ref="L34" r:id="rId3" location="v=onepage&amp;q=turton%20analysis%20synthesis%20third%20edition&amp;f=false" xr:uid="{9949E6E9-9242-495B-A8E7-1FEFB84B3DB4}"/>
    <hyperlink ref="L50" r:id="rId4" xr:uid="{8549D7FE-7C99-49FE-B893-8FF9C658B180}"/>
    <hyperlink ref="C4" r:id="rId5" xr:uid="{411E1EFA-D42E-4FDF-BC40-0CE0D26A6300}"/>
    <hyperlink ref="C13" r:id="rId6" xr:uid="{DBF0E72D-74DF-4610-AE17-54D11B290ACC}"/>
    <hyperlink ref="C14" r:id="rId7" xr:uid="{7C716763-77A0-4916-8B73-FB912B61DD4D}"/>
    <hyperlink ref="L27" r:id="rId8" xr:uid="{64E3F352-A058-4ADB-A706-14BFFCFB896F}"/>
    <hyperlink ref="L36" r:id="rId9" xr:uid="{BA55142C-1EB7-42A5-B513-6FB660246367}"/>
    <hyperlink ref="C24" r:id="rId10" xr:uid="{6F64ABF3-36F9-4BE8-A572-876BA9EBD32C}"/>
    <hyperlink ref="C25" r:id="rId11" xr:uid="{8571F068-D676-448B-93B0-83B468889DAB}"/>
    <hyperlink ref="C20" r:id="rId12" xr:uid="{144482B2-5A19-46B4-A9D4-BE802324A2D7}"/>
  </hyperlinks>
  <pageMargins left="0.7" right="0.7" top="0.75" bottom="0.75" header="0.3" footer="0.3"/>
  <pageSetup paperSize="9" orientation="portrait" r:id="rId1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8C34C-9500-4AEC-B8F7-6D77B94DDDF4}">
  <dimension ref="A1"/>
  <sheetViews>
    <sheetView workbookViewId="0"/>
  </sheetViews>
  <sheetFormatPr defaultRowHeight="14.4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E38DA-EBAD-4E69-A1C0-50566DDA79DE}">
  <dimension ref="A1:O74"/>
  <sheetViews>
    <sheetView topLeftCell="A18" workbookViewId="0">
      <selection activeCell="M4" sqref="M4"/>
    </sheetView>
  </sheetViews>
  <sheetFormatPr defaultRowHeight="14.45"/>
  <cols>
    <col min="1" max="1" width="35.42578125" customWidth="1"/>
    <col min="4" max="4" width="9.5703125" customWidth="1"/>
    <col min="6" max="6" width="26.5703125" customWidth="1"/>
    <col min="10" max="10" width="35.5703125" customWidth="1"/>
    <col min="13" max="13" width="12" bestFit="1" customWidth="1"/>
    <col min="15" max="15" width="26.5703125" customWidth="1"/>
  </cols>
  <sheetData>
    <row r="1" spans="1:15" ht="15" thickBot="1">
      <c r="A1" s="229" t="s">
        <v>149</v>
      </c>
      <c r="B1" s="229"/>
      <c r="C1" s="229"/>
      <c r="D1" s="229"/>
      <c r="E1" s="229"/>
      <c r="F1" s="229"/>
      <c r="H1" s="104"/>
      <c r="J1" s="150" t="s">
        <v>1</v>
      </c>
      <c r="K1" s="151"/>
      <c r="L1" s="151"/>
      <c r="M1" s="151"/>
      <c r="N1" s="151"/>
      <c r="O1" s="152"/>
    </row>
    <row r="2" spans="1:15" ht="15" thickBot="1">
      <c r="A2" s="14"/>
      <c r="B2" s="14" t="s">
        <v>2</v>
      </c>
      <c r="C2" s="14" t="s">
        <v>3</v>
      </c>
      <c r="D2" s="14" t="s">
        <v>4</v>
      </c>
      <c r="E2" s="14" t="s">
        <v>5</v>
      </c>
      <c r="F2" s="14" t="s">
        <v>6</v>
      </c>
      <c r="H2" s="104"/>
      <c r="J2" s="1"/>
      <c r="K2" s="2" t="s">
        <v>2</v>
      </c>
      <c r="L2" s="3" t="s">
        <v>3</v>
      </c>
      <c r="M2" s="3" t="s">
        <v>4</v>
      </c>
      <c r="N2" s="3" t="s">
        <v>5</v>
      </c>
      <c r="O2" s="4" t="s">
        <v>6</v>
      </c>
    </row>
    <row r="3" spans="1:15" ht="15" thickBot="1">
      <c r="A3" s="14" t="s">
        <v>7</v>
      </c>
      <c r="B3" s="14" t="s">
        <v>8</v>
      </c>
      <c r="C3" s="12" t="s">
        <v>1</v>
      </c>
      <c r="D3" s="14">
        <f>M4</f>
        <v>0</v>
      </c>
      <c r="E3" s="14" t="s">
        <v>9</v>
      </c>
      <c r="F3" s="14"/>
      <c r="H3" s="104"/>
      <c r="J3" s="204" t="s">
        <v>129</v>
      </c>
      <c r="K3" s="205"/>
      <c r="L3" s="205"/>
      <c r="M3" s="205"/>
      <c r="N3" s="205"/>
      <c r="O3" s="206"/>
    </row>
    <row r="4" spans="1:15">
      <c r="A4" s="14" t="s">
        <v>12</v>
      </c>
      <c r="B4" s="14" t="s">
        <v>13</v>
      </c>
      <c r="C4" s="46" t="s">
        <v>14</v>
      </c>
      <c r="D4" s="14">
        <v>0.1</v>
      </c>
      <c r="E4" s="14" t="s">
        <v>11</v>
      </c>
      <c r="F4" s="14" t="s">
        <v>15</v>
      </c>
      <c r="H4" s="104"/>
      <c r="J4" s="94" t="s">
        <v>10</v>
      </c>
      <c r="K4" s="6" t="s">
        <v>11</v>
      </c>
      <c r="L4" s="7" t="s">
        <v>11</v>
      </c>
      <c r="M4" s="69"/>
      <c r="N4" s="7" t="s">
        <v>9</v>
      </c>
      <c r="O4" s="9"/>
    </row>
    <row r="5" spans="1:15" ht="15" thickBot="1">
      <c r="A5" s="153" t="s">
        <v>150</v>
      </c>
      <c r="B5" s="153"/>
      <c r="C5" s="153"/>
      <c r="D5" s="105">
        <f>D3*(1+D4)</f>
        <v>0</v>
      </c>
      <c r="E5" s="14" t="s">
        <v>9</v>
      </c>
      <c r="F5" s="14"/>
      <c r="H5" s="104"/>
      <c r="J5" s="19" t="s">
        <v>16</v>
      </c>
      <c r="K5" s="53" t="s">
        <v>11</v>
      </c>
      <c r="L5" s="43" t="s">
        <v>11</v>
      </c>
      <c r="M5" s="95"/>
      <c r="N5" s="43" t="s">
        <v>17</v>
      </c>
      <c r="O5" s="55"/>
    </row>
    <row r="6" spans="1:15" ht="15" thickBot="1">
      <c r="H6" s="104"/>
      <c r="J6" s="204" t="s">
        <v>96</v>
      </c>
      <c r="K6" s="205"/>
      <c r="L6" s="205"/>
      <c r="M6" s="205"/>
      <c r="N6" s="205"/>
      <c r="O6" s="206"/>
    </row>
    <row r="7" spans="1:15">
      <c r="A7" s="160" t="s">
        <v>151</v>
      </c>
      <c r="B7" s="161"/>
      <c r="C7" s="161"/>
      <c r="D7" s="161"/>
      <c r="E7" s="161"/>
      <c r="F7" s="162"/>
      <c r="H7" s="104"/>
      <c r="J7" s="94" t="s">
        <v>10</v>
      </c>
      <c r="K7" s="6" t="s">
        <v>11</v>
      </c>
      <c r="L7" s="7" t="s">
        <v>11</v>
      </c>
      <c r="M7" s="69"/>
      <c r="N7" s="7" t="s">
        <v>9</v>
      </c>
      <c r="O7" s="9"/>
    </row>
    <row r="8" spans="1:15" ht="15" thickBot="1">
      <c r="A8" s="14"/>
      <c r="B8" s="14" t="s">
        <v>2</v>
      </c>
      <c r="C8" s="14" t="s">
        <v>22</v>
      </c>
      <c r="D8" s="14" t="s">
        <v>4</v>
      </c>
      <c r="E8" s="14" t="s">
        <v>5</v>
      </c>
      <c r="F8" s="14" t="s">
        <v>6</v>
      </c>
      <c r="H8" s="104"/>
      <c r="J8" s="19" t="s">
        <v>16</v>
      </c>
      <c r="K8" s="20" t="s">
        <v>11</v>
      </c>
      <c r="L8" s="21" t="s">
        <v>11</v>
      </c>
      <c r="M8" s="70"/>
      <c r="N8" s="21" t="s">
        <v>17</v>
      </c>
      <c r="O8" s="22"/>
    </row>
    <row r="9" spans="1:15">
      <c r="A9" s="14" t="s">
        <v>26</v>
      </c>
      <c r="B9" s="14" t="s">
        <v>27</v>
      </c>
      <c r="C9" s="74" t="s">
        <v>28</v>
      </c>
      <c r="D9" s="17">
        <f>M25</f>
        <v>597026.36267169972</v>
      </c>
      <c r="E9" s="14" t="s">
        <v>17</v>
      </c>
      <c r="F9" s="14"/>
      <c r="H9" s="104"/>
    </row>
    <row r="10" spans="1:15" ht="15" thickBot="1">
      <c r="A10" s="14" t="s">
        <v>31</v>
      </c>
      <c r="B10" s="14" t="s">
        <v>32</v>
      </c>
      <c r="C10" s="12" t="s">
        <v>1</v>
      </c>
      <c r="D10" s="14">
        <f>M5</f>
        <v>0</v>
      </c>
      <c r="E10" s="14" t="s">
        <v>17</v>
      </c>
      <c r="F10" s="14"/>
      <c r="H10" s="104"/>
    </row>
    <row r="11" spans="1:15" ht="15" thickBot="1">
      <c r="A11" s="14" t="s">
        <v>34</v>
      </c>
      <c r="B11" s="14" t="s">
        <v>35</v>
      </c>
      <c r="C11" s="75" t="s">
        <v>36</v>
      </c>
      <c r="D11" s="14">
        <f>M51</f>
        <v>0</v>
      </c>
      <c r="E11" s="14" t="s">
        <v>17</v>
      </c>
      <c r="F11" s="14"/>
      <c r="H11" s="104"/>
      <c r="J11" s="163" t="s">
        <v>19</v>
      </c>
      <c r="K11" s="164"/>
      <c r="L11" s="164"/>
      <c r="M11" s="164"/>
      <c r="N11" s="164"/>
      <c r="O11" s="165"/>
    </row>
    <row r="12" spans="1:15" ht="15" thickBot="1">
      <c r="A12" s="14" t="s">
        <v>38</v>
      </c>
      <c r="B12" s="14" t="s">
        <v>39</v>
      </c>
      <c r="C12" s="76" t="s">
        <v>40</v>
      </c>
      <c r="D12" s="14">
        <f>M71</f>
        <v>0</v>
      </c>
      <c r="E12" s="14" t="s">
        <v>17</v>
      </c>
      <c r="F12" s="14"/>
      <c r="H12" s="104"/>
      <c r="J12" s="83"/>
      <c r="K12" s="84" t="s">
        <v>2</v>
      </c>
      <c r="L12" s="85" t="s">
        <v>21</v>
      </c>
      <c r="M12" s="85" t="s">
        <v>4</v>
      </c>
      <c r="N12" s="85" t="s">
        <v>5</v>
      </c>
      <c r="O12" s="86" t="s">
        <v>6</v>
      </c>
    </row>
    <row r="13" spans="1:15" ht="15" thickBot="1">
      <c r="A13" s="14" t="s">
        <v>42</v>
      </c>
      <c r="B13" s="14" t="s">
        <v>43</v>
      </c>
      <c r="C13" s="46" t="s">
        <v>14</v>
      </c>
      <c r="D13" s="14">
        <f>0.05*D5</f>
        <v>0</v>
      </c>
      <c r="E13" s="14" t="s">
        <v>17</v>
      </c>
      <c r="F13" s="14" t="s">
        <v>44</v>
      </c>
      <c r="H13" s="104"/>
      <c r="J13" s="204" t="s">
        <v>129</v>
      </c>
      <c r="K13" s="205"/>
      <c r="L13" s="205"/>
      <c r="M13" s="205"/>
      <c r="N13" s="205"/>
      <c r="O13" s="206"/>
    </row>
    <row r="14" spans="1:15">
      <c r="A14" s="14" t="s">
        <v>46</v>
      </c>
      <c r="B14" s="14" t="s">
        <v>47</v>
      </c>
      <c r="C14" s="46" t="s">
        <v>14</v>
      </c>
      <c r="D14" s="14">
        <f>0.1*D5</f>
        <v>0</v>
      </c>
      <c r="E14" s="14" t="s">
        <v>17</v>
      </c>
      <c r="F14" s="14" t="s">
        <v>48</v>
      </c>
      <c r="H14" s="104"/>
      <c r="J14" s="5" t="s">
        <v>23</v>
      </c>
      <c r="K14" s="6" t="s">
        <v>24</v>
      </c>
      <c r="L14" s="7" t="s">
        <v>25</v>
      </c>
      <c r="M14" s="8">
        <f>(6.29+31.7*M23^2+0.23*M20)^0.5</f>
        <v>2.5079872407968904</v>
      </c>
      <c r="N14" s="7" t="s">
        <v>11</v>
      </c>
      <c r="O14" s="9"/>
    </row>
    <row r="15" spans="1:15">
      <c r="A15" s="153" t="s">
        <v>152</v>
      </c>
      <c r="B15" s="153"/>
      <c r="C15" s="153"/>
      <c r="D15" s="72">
        <f>SUM(D9:D14)</f>
        <v>597026.36267169972</v>
      </c>
      <c r="E15" s="14" t="s">
        <v>17</v>
      </c>
      <c r="F15" s="14"/>
      <c r="H15" s="104"/>
      <c r="J15" s="10" t="s">
        <v>29</v>
      </c>
      <c r="K15" s="11" t="s">
        <v>11</v>
      </c>
      <c r="L15" s="12" t="s">
        <v>30</v>
      </c>
      <c r="M15" s="13"/>
      <c r="N15" s="14" t="s">
        <v>11</v>
      </c>
      <c r="O15" s="15"/>
    </row>
    <row r="16" spans="1:15">
      <c r="H16" s="104"/>
      <c r="J16" s="10" t="s">
        <v>33</v>
      </c>
      <c r="K16" s="11" t="s">
        <v>11</v>
      </c>
      <c r="L16" s="12" t="s">
        <v>30</v>
      </c>
      <c r="M16" s="13"/>
      <c r="N16" s="14" t="s">
        <v>11</v>
      </c>
      <c r="O16" s="15"/>
    </row>
    <row r="17" spans="1:15">
      <c r="A17" s="160" t="s">
        <v>153</v>
      </c>
      <c r="B17" s="161"/>
      <c r="C17" s="161"/>
      <c r="D17" s="161"/>
      <c r="E17" s="161"/>
      <c r="F17" s="162"/>
      <c r="H17" s="104"/>
      <c r="J17" s="10" t="s">
        <v>37</v>
      </c>
      <c r="K17" s="11" t="s">
        <v>11</v>
      </c>
      <c r="L17" s="12" t="s">
        <v>30</v>
      </c>
      <c r="M17" s="13"/>
      <c r="N17" s="14" t="s">
        <v>11</v>
      </c>
      <c r="O17" s="15"/>
    </row>
    <row r="18" spans="1:15">
      <c r="A18" s="14"/>
      <c r="B18" s="14" t="s">
        <v>2</v>
      </c>
      <c r="C18" s="14" t="s">
        <v>3</v>
      </c>
      <c r="D18" s="14" t="s">
        <v>4</v>
      </c>
      <c r="E18" s="14" t="s">
        <v>5</v>
      </c>
      <c r="F18" s="14" t="s">
        <v>6</v>
      </c>
      <c r="H18" s="104"/>
      <c r="J18" s="10" t="s">
        <v>41</v>
      </c>
      <c r="K18" s="11" t="s">
        <v>11</v>
      </c>
      <c r="L18" s="12" t="s">
        <v>30</v>
      </c>
      <c r="M18" s="13"/>
      <c r="N18" s="14" t="s">
        <v>11</v>
      </c>
      <c r="O18" s="15"/>
    </row>
    <row r="19" spans="1:15">
      <c r="A19" s="14" t="s">
        <v>104</v>
      </c>
      <c r="B19" s="14" t="s">
        <v>11</v>
      </c>
      <c r="C19" s="46" t="s">
        <v>105</v>
      </c>
      <c r="D19" s="14">
        <v>0.68</v>
      </c>
      <c r="E19" s="14" t="s">
        <v>66</v>
      </c>
      <c r="F19" s="14"/>
      <c r="H19" s="104"/>
      <c r="J19" s="10" t="s">
        <v>45</v>
      </c>
      <c r="K19" s="11" t="s">
        <v>11</v>
      </c>
      <c r="L19" s="12" t="s">
        <v>30</v>
      </c>
      <c r="M19" s="13"/>
      <c r="N19" s="14" t="s">
        <v>11</v>
      </c>
      <c r="O19" s="15"/>
    </row>
    <row r="20" spans="1:15">
      <c r="A20" s="14" t="s">
        <v>106</v>
      </c>
      <c r="B20" s="14" t="s">
        <v>11</v>
      </c>
      <c r="C20" s="12" t="s">
        <v>1</v>
      </c>
      <c r="D20" s="13"/>
      <c r="E20" s="14" t="s">
        <v>71</v>
      </c>
      <c r="F20" s="14"/>
      <c r="H20" s="104"/>
      <c r="J20" s="16" t="s">
        <v>49</v>
      </c>
      <c r="K20" s="11" t="s">
        <v>50</v>
      </c>
      <c r="L20" s="14" t="s">
        <v>11</v>
      </c>
      <c r="M20" s="17">
        <f>SUM(M15:M19)</f>
        <v>0</v>
      </c>
      <c r="N20" s="14" t="s">
        <v>11</v>
      </c>
      <c r="O20" s="15"/>
    </row>
    <row r="21" spans="1:15" ht="14.1" customHeight="1">
      <c r="A21" s="230" t="s">
        <v>154</v>
      </c>
      <c r="B21" s="231"/>
      <c r="C21" s="232"/>
      <c r="D21" s="105">
        <f>D19*D20</f>
        <v>0</v>
      </c>
      <c r="E21" s="14"/>
      <c r="F21" s="14"/>
      <c r="H21" s="104"/>
      <c r="J21" s="16" t="s">
        <v>52</v>
      </c>
      <c r="K21" s="11" t="s">
        <v>11</v>
      </c>
      <c r="L21" s="14" t="s">
        <v>11</v>
      </c>
      <c r="M21" s="18">
        <v>4.5</v>
      </c>
      <c r="N21" s="14" t="s">
        <v>11</v>
      </c>
      <c r="O21" s="15"/>
    </row>
    <row r="22" spans="1:15">
      <c r="H22" s="104"/>
      <c r="J22" s="16" t="s">
        <v>53</v>
      </c>
      <c r="K22" s="11" t="s">
        <v>54</v>
      </c>
      <c r="L22" s="14" t="s">
        <v>11</v>
      </c>
      <c r="M22" s="17">
        <f>M21*M14</f>
        <v>11.285942583586007</v>
      </c>
      <c r="N22" s="14" t="s">
        <v>11</v>
      </c>
      <c r="O22" s="15"/>
    </row>
    <row r="23" spans="1:15">
      <c r="H23" s="104"/>
      <c r="J23" s="16" t="s">
        <v>55</v>
      </c>
      <c r="K23" s="11" t="s">
        <v>56</v>
      </c>
      <c r="L23" s="12" t="s">
        <v>30</v>
      </c>
      <c r="M23" s="13"/>
      <c r="N23" s="14" t="s">
        <v>11</v>
      </c>
      <c r="O23" s="15" t="s">
        <v>57</v>
      </c>
    </row>
    <row r="24" spans="1:15" ht="15" thickBot="1">
      <c r="A24" s="203" t="s">
        <v>95</v>
      </c>
      <c r="B24" s="203"/>
      <c r="C24" s="203"/>
      <c r="D24" s="203"/>
      <c r="E24" s="203"/>
      <c r="F24" s="203"/>
      <c r="H24" s="104"/>
      <c r="J24" s="39" t="s">
        <v>58</v>
      </c>
      <c r="K24" s="53" t="s">
        <v>59</v>
      </c>
      <c r="L24" s="43" t="s">
        <v>11</v>
      </c>
      <c r="M24" s="18">
        <v>52900</v>
      </c>
      <c r="N24" s="14" t="s">
        <v>17</v>
      </c>
      <c r="O24" s="15"/>
    </row>
    <row r="25" spans="1:15" ht="15" thickBot="1">
      <c r="A25" s="14"/>
      <c r="B25" s="14" t="s">
        <v>2</v>
      </c>
      <c r="C25" s="14" t="s">
        <v>3</v>
      </c>
      <c r="D25" s="14" t="s">
        <v>4</v>
      </c>
      <c r="E25" s="14" t="s">
        <v>5</v>
      </c>
      <c r="F25" s="14" t="s">
        <v>6</v>
      </c>
      <c r="H25" s="104"/>
      <c r="J25" s="175" t="s">
        <v>155</v>
      </c>
      <c r="K25" s="176"/>
      <c r="L25" s="177"/>
      <c r="M25" s="89">
        <f>M24*M22</f>
        <v>597026.36267169972</v>
      </c>
      <c r="N25" s="21" t="s">
        <v>17</v>
      </c>
      <c r="O25" s="22"/>
    </row>
    <row r="26" spans="1:15" ht="15" thickBot="1">
      <c r="A26" s="14" t="s">
        <v>7</v>
      </c>
      <c r="B26" s="14" t="s">
        <v>8</v>
      </c>
      <c r="C26" s="12" t="s">
        <v>1</v>
      </c>
      <c r="D26" s="17">
        <f>M7</f>
        <v>0</v>
      </c>
      <c r="E26" s="14" t="s">
        <v>9</v>
      </c>
      <c r="F26" s="14"/>
      <c r="H26" s="104"/>
      <c r="J26" s="204" t="s">
        <v>99</v>
      </c>
      <c r="K26" s="205"/>
      <c r="L26" s="205"/>
      <c r="M26" s="205"/>
      <c r="N26" s="205"/>
      <c r="O26" s="206"/>
    </row>
    <row r="27" spans="1:15">
      <c r="A27" s="14" t="s">
        <v>12</v>
      </c>
      <c r="B27" s="14" t="s">
        <v>13</v>
      </c>
      <c r="C27" s="46" t="s">
        <v>14</v>
      </c>
      <c r="D27" s="14">
        <v>0.1</v>
      </c>
      <c r="E27" s="14" t="s">
        <v>11</v>
      </c>
      <c r="F27" s="14" t="s">
        <v>15</v>
      </c>
      <c r="H27" s="104"/>
      <c r="J27" s="94" t="s">
        <v>23</v>
      </c>
      <c r="K27" s="93" t="s">
        <v>24</v>
      </c>
      <c r="L27" s="87" t="s">
        <v>25</v>
      </c>
      <c r="M27" s="91">
        <f>(6.29+31.7*M36^2+0.23*M33)^0.5</f>
        <v>2.5079872407968904</v>
      </c>
      <c r="N27" s="87" t="s">
        <v>11</v>
      </c>
      <c r="O27" s="88"/>
    </row>
    <row r="28" spans="1:15">
      <c r="A28" s="210" t="s">
        <v>97</v>
      </c>
      <c r="B28" s="210"/>
      <c r="C28" s="210"/>
      <c r="D28" s="103">
        <f>D26*(1+D27)</f>
        <v>0</v>
      </c>
      <c r="E28" s="14" t="s">
        <v>9</v>
      </c>
      <c r="F28" s="14"/>
      <c r="H28" s="104"/>
      <c r="J28" s="10" t="s">
        <v>29</v>
      </c>
      <c r="K28" s="11" t="s">
        <v>11</v>
      </c>
      <c r="L28" s="12" t="s">
        <v>30</v>
      </c>
      <c r="M28" s="13"/>
      <c r="N28" s="14" t="s">
        <v>11</v>
      </c>
      <c r="O28" s="15"/>
    </row>
    <row r="29" spans="1:15">
      <c r="H29" s="104"/>
      <c r="J29" s="10" t="s">
        <v>33</v>
      </c>
      <c r="K29" s="11" t="s">
        <v>11</v>
      </c>
      <c r="L29" s="12" t="s">
        <v>30</v>
      </c>
      <c r="M29" s="13"/>
      <c r="N29" s="14" t="s">
        <v>11</v>
      </c>
      <c r="O29" s="15"/>
    </row>
    <row r="30" spans="1:15">
      <c r="A30" s="223" t="s">
        <v>98</v>
      </c>
      <c r="B30" s="224"/>
      <c r="C30" s="224"/>
      <c r="D30" s="224"/>
      <c r="E30" s="224"/>
      <c r="F30" s="225"/>
      <c r="H30" s="104"/>
      <c r="J30" s="10" t="s">
        <v>37</v>
      </c>
      <c r="K30" s="11" t="s">
        <v>11</v>
      </c>
      <c r="L30" s="12" t="s">
        <v>30</v>
      </c>
      <c r="M30" s="13"/>
      <c r="N30" s="14" t="s">
        <v>11</v>
      </c>
      <c r="O30" s="15"/>
    </row>
    <row r="31" spans="1:15">
      <c r="A31" s="14"/>
      <c r="B31" s="14" t="s">
        <v>2</v>
      </c>
      <c r="C31" s="14" t="s">
        <v>22</v>
      </c>
      <c r="D31" s="14" t="s">
        <v>4</v>
      </c>
      <c r="E31" s="14" t="s">
        <v>5</v>
      </c>
      <c r="F31" s="14" t="s">
        <v>6</v>
      </c>
      <c r="H31" s="104"/>
      <c r="J31" s="10" t="s">
        <v>41</v>
      </c>
      <c r="K31" s="11" t="s">
        <v>11</v>
      </c>
      <c r="L31" s="12" t="s">
        <v>30</v>
      </c>
      <c r="M31" s="13"/>
      <c r="N31" s="14" t="s">
        <v>11</v>
      </c>
      <c r="O31" s="15"/>
    </row>
    <row r="32" spans="1:15">
      <c r="A32" s="14" t="s">
        <v>26</v>
      </c>
      <c r="B32" s="14" t="s">
        <v>27</v>
      </c>
      <c r="C32" s="74" t="s">
        <v>28</v>
      </c>
      <c r="D32" s="17">
        <f>M38</f>
        <v>597026.36267169972</v>
      </c>
      <c r="E32" s="14" t="s">
        <v>17</v>
      </c>
      <c r="F32" s="14"/>
      <c r="H32" s="104"/>
      <c r="J32" s="10" t="s">
        <v>45</v>
      </c>
      <c r="K32" s="11" t="s">
        <v>11</v>
      </c>
      <c r="L32" s="12" t="s">
        <v>30</v>
      </c>
      <c r="M32" s="13"/>
      <c r="N32" s="14" t="s">
        <v>11</v>
      </c>
      <c r="O32" s="15"/>
    </row>
    <row r="33" spans="1:15">
      <c r="A33" s="14" t="s">
        <v>31</v>
      </c>
      <c r="B33" s="14" t="s">
        <v>32</v>
      </c>
      <c r="C33" s="12" t="s">
        <v>1</v>
      </c>
      <c r="D33" s="14">
        <f>M8</f>
        <v>0</v>
      </c>
      <c r="E33" s="14" t="s">
        <v>17</v>
      </c>
      <c r="F33" s="14"/>
      <c r="H33" s="104"/>
      <c r="J33" s="16" t="s">
        <v>49</v>
      </c>
      <c r="K33" s="11" t="s">
        <v>50</v>
      </c>
      <c r="L33" s="14" t="s">
        <v>11</v>
      </c>
      <c r="M33" s="17">
        <f>SUM(M28:M32)</f>
        <v>0</v>
      </c>
      <c r="N33" s="14" t="s">
        <v>11</v>
      </c>
      <c r="O33" s="15"/>
    </row>
    <row r="34" spans="1:15">
      <c r="A34" s="14" t="s">
        <v>34</v>
      </c>
      <c r="B34" s="14" t="s">
        <v>35</v>
      </c>
      <c r="C34" s="75" t="s">
        <v>36</v>
      </c>
      <c r="D34" s="14">
        <f>M62</f>
        <v>0</v>
      </c>
      <c r="E34" s="14" t="s">
        <v>17</v>
      </c>
      <c r="F34" s="14"/>
      <c r="H34" s="104"/>
      <c r="J34" s="16" t="s">
        <v>52</v>
      </c>
      <c r="K34" s="11" t="s">
        <v>11</v>
      </c>
      <c r="L34" s="14" t="s">
        <v>11</v>
      </c>
      <c r="M34" s="18">
        <v>4.5</v>
      </c>
      <c r="N34" s="14" t="s">
        <v>11</v>
      </c>
      <c r="O34" s="15"/>
    </row>
    <row r="35" spans="1:15">
      <c r="A35" s="14" t="s">
        <v>38</v>
      </c>
      <c r="B35" s="14" t="s">
        <v>39</v>
      </c>
      <c r="C35" s="76" t="s">
        <v>40</v>
      </c>
      <c r="D35" s="14">
        <f>0</f>
        <v>0</v>
      </c>
      <c r="E35" s="14" t="s">
        <v>17</v>
      </c>
      <c r="F35" s="14"/>
      <c r="H35" s="104"/>
      <c r="J35" s="16" t="s">
        <v>53</v>
      </c>
      <c r="K35" s="11" t="s">
        <v>54</v>
      </c>
      <c r="L35" s="14" t="s">
        <v>11</v>
      </c>
      <c r="M35" s="17">
        <f>M34*M27</f>
        <v>11.285942583586007</v>
      </c>
      <c r="N35" s="14" t="s">
        <v>11</v>
      </c>
      <c r="O35" s="15"/>
    </row>
    <row r="36" spans="1:15">
      <c r="A36" s="14" t="s">
        <v>42</v>
      </c>
      <c r="B36" s="14" t="s">
        <v>43</v>
      </c>
      <c r="C36" s="46" t="s">
        <v>14</v>
      </c>
      <c r="D36" s="14">
        <f>0.05*D28</f>
        <v>0</v>
      </c>
      <c r="E36" s="14" t="s">
        <v>17</v>
      </c>
      <c r="F36" s="14" t="s">
        <v>44</v>
      </c>
      <c r="H36" s="104"/>
      <c r="J36" s="16" t="s">
        <v>55</v>
      </c>
      <c r="K36" s="11" t="s">
        <v>56</v>
      </c>
      <c r="L36" s="12" t="s">
        <v>30</v>
      </c>
      <c r="M36" s="13"/>
      <c r="N36" s="14" t="s">
        <v>11</v>
      </c>
      <c r="O36" s="15" t="s">
        <v>57</v>
      </c>
    </row>
    <row r="37" spans="1:15" ht="15" thickBot="1">
      <c r="A37" s="14" t="s">
        <v>46</v>
      </c>
      <c r="B37" s="14" t="s">
        <v>47</v>
      </c>
      <c r="C37" s="46" t="s">
        <v>14</v>
      </c>
      <c r="D37" s="14">
        <f>0.1*D28</f>
        <v>0</v>
      </c>
      <c r="E37" s="14" t="s">
        <v>17</v>
      </c>
      <c r="F37" s="14" t="s">
        <v>48</v>
      </c>
      <c r="H37" s="104"/>
      <c r="J37" s="19" t="s">
        <v>58</v>
      </c>
      <c r="K37" s="53" t="s">
        <v>59</v>
      </c>
      <c r="L37" s="43" t="s">
        <v>11</v>
      </c>
      <c r="M37" s="18">
        <v>52900</v>
      </c>
      <c r="N37" s="14" t="s">
        <v>17</v>
      </c>
      <c r="O37" s="15"/>
    </row>
    <row r="38" spans="1:15" ht="15" thickBot="1">
      <c r="A38" s="210" t="s">
        <v>101</v>
      </c>
      <c r="B38" s="210"/>
      <c r="C38" s="210"/>
      <c r="D38" s="102">
        <f>SUM(D32:D37)</f>
        <v>597026.36267169972</v>
      </c>
      <c r="E38" s="14" t="s">
        <v>17</v>
      </c>
      <c r="F38" s="14"/>
      <c r="H38" s="104"/>
      <c r="J38" s="175" t="s">
        <v>107</v>
      </c>
      <c r="K38" s="176"/>
      <c r="L38" s="177"/>
      <c r="M38" s="90">
        <f>M35*M37</f>
        <v>597026.36267169972</v>
      </c>
      <c r="N38" s="14" t="s">
        <v>17</v>
      </c>
      <c r="O38" s="15"/>
    </row>
    <row r="39" spans="1:15" ht="15" thickBot="1">
      <c r="H39" s="104"/>
      <c r="J39" s="226" t="s">
        <v>60</v>
      </c>
      <c r="K39" s="227"/>
      <c r="L39" s="228"/>
      <c r="M39" s="89">
        <f>M25+M38</f>
        <v>1194052.7253433994</v>
      </c>
      <c r="N39" s="21" t="s">
        <v>17</v>
      </c>
      <c r="O39" s="92" t="s">
        <v>61</v>
      </c>
    </row>
    <row r="40" spans="1:15">
      <c r="A40" s="203" t="s">
        <v>102</v>
      </c>
      <c r="B40" s="203"/>
      <c r="C40" s="203"/>
      <c r="D40" s="203"/>
      <c r="E40" s="203"/>
      <c r="F40" s="203"/>
      <c r="H40" s="104"/>
    </row>
    <row r="41" spans="1:15" ht="15" thickBot="1">
      <c r="A41" s="14"/>
      <c r="B41" s="14" t="s">
        <v>2</v>
      </c>
      <c r="C41" s="14" t="s">
        <v>3</v>
      </c>
      <c r="D41" s="14" t="s">
        <v>4</v>
      </c>
      <c r="E41" s="14" t="s">
        <v>5</v>
      </c>
      <c r="F41" s="14" t="s">
        <v>6</v>
      </c>
      <c r="H41" s="104"/>
    </row>
    <row r="42" spans="1:15" ht="15" thickBot="1">
      <c r="A42" s="14" t="s">
        <v>109</v>
      </c>
      <c r="B42" s="14" t="s">
        <v>11</v>
      </c>
      <c r="C42" s="46" t="s">
        <v>110</v>
      </c>
      <c r="D42" s="14">
        <v>0.37</v>
      </c>
      <c r="E42" s="14" t="s">
        <v>66</v>
      </c>
      <c r="F42" s="14"/>
      <c r="H42" s="104"/>
      <c r="J42" s="166" t="s">
        <v>62</v>
      </c>
      <c r="K42" s="167"/>
      <c r="L42" s="167"/>
      <c r="M42" s="167"/>
      <c r="N42" s="167"/>
      <c r="O42" s="168"/>
    </row>
    <row r="43" spans="1:15" ht="15" thickBot="1">
      <c r="A43" s="14" t="s">
        <v>104</v>
      </c>
      <c r="B43" s="14" t="s">
        <v>11</v>
      </c>
      <c r="C43" s="46" t="s">
        <v>105</v>
      </c>
      <c r="D43" s="14">
        <v>0.68</v>
      </c>
      <c r="E43" s="14" t="s">
        <v>66</v>
      </c>
      <c r="F43" s="14"/>
      <c r="H43" s="104"/>
      <c r="J43" s="23"/>
      <c r="K43" s="24" t="s">
        <v>2</v>
      </c>
      <c r="L43" s="25" t="s">
        <v>21</v>
      </c>
      <c r="M43" s="25" t="s">
        <v>4</v>
      </c>
      <c r="N43" s="25" t="s">
        <v>5</v>
      </c>
      <c r="O43" s="26" t="s">
        <v>6</v>
      </c>
    </row>
    <row r="44" spans="1:15" ht="15" thickBot="1">
      <c r="A44" s="14" t="s">
        <v>111</v>
      </c>
      <c r="B44" s="14" t="s">
        <v>11</v>
      </c>
      <c r="C44" s="12" t="s">
        <v>1</v>
      </c>
      <c r="D44" s="13"/>
      <c r="E44" s="14" t="s">
        <v>71</v>
      </c>
      <c r="F44" s="14"/>
      <c r="H44" s="104"/>
      <c r="J44" s="190" t="s">
        <v>103</v>
      </c>
      <c r="K44" s="191"/>
      <c r="L44" s="191"/>
      <c r="M44" s="191"/>
      <c r="N44" s="191"/>
      <c r="O44" s="192"/>
    </row>
    <row r="45" spans="1:15">
      <c r="A45" s="14" t="s">
        <v>106</v>
      </c>
      <c r="B45" s="14" t="s">
        <v>11</v>
      </c>
      <c r="C45" s="12" t="s">
        <v>1</v>
      </c>
      <c r="D45" s="13"/>
      <c r="E45" s="14" t="s">
        <v>71</v>
      </c>
      <c r="F45" s="14"/>
      <c r="H45" s="104"/>
      <c r="J45" s="27" t="s">
        <v>67</v>
      </c>
      <c r="K45" s="51" t="s">
        <v>11</v>
      </c>
      <c r="L45" s="97" t="s">
        <v>68</v>
      </c>
      <c r="M45" s="49">
        <v>1E-3</v>
      </c>
      <c r="N45" s="47" t="s">
        <v>66</v>
      </c>
      <c r="O45" s="50" t="s">
        <v>69</v>
      </c>
    </row>
    <row r="46" spans="1:15">
      <c r="A46" s="210" t="s">
        <v>114</v>
      </c>
      <c r="B46" s="210"/>
      <c r="C46" s="210"/>
      <c r="D46" s="103">
        <f>D42*D44+D43*D45</f>
        <v>0</v>
      </c>
      <c r="E46" s="14" t="s">
        <v>17</v>
      </c>
      <c r="F46" s="14" t="s">
        <v>115</v>
      </c>
      <c r="H46" s="104"/>
      <c r="J46" s="16" t="s">
        <v>116</v>
      </c>
      <c r="K46" s="11" t="s">
        <v>11</v>
      </c>
      <c r="L46" s="46" t="s">
        <v>117</v>
      </c>
      <c r="M46" s="98">
        <v>141</v>
      </c>
      <c r="N46" s="14" t="s">
        <v>66</v>
      </c>
      <c r="O46" s="15"/>
    </row>
    <row r="47" spans="1:15">
      <c r="H47" s="104"/>
      <c r="J47" s="33" t="s">
        <v>72</v>
      </c>
      <c r="K47" s="34" t="s">
        <v>11</v>
      </c>
      <c r="L47" s="78" t="s">
        <v>1</v>
      </c>
      <c r="M47" s="38"/>
      <c r="N47" s="36" t="s">
        <v>71</v>
      </c>
      <c r="O47" s="37"/>
    </row>
    <row r="48" spans="1:15" ht="15" thickBot="1">
      <c r="H48" s="104"/>
      <c r="J48" s="33" t="s">
        <v>119</v>
      </c>
      <c r="K48" s="11" t="s">
        <v>11</v>
      </c>
      <c r="L48" s="78" t="s">
        <v>1</v>
      </c>
      <c r="M48" s="38"/>
      <c r="N48" s="14" t="s">
        <v>71</v>
      </c>
      <c r="O48" s="15"/>
    </row>
    <row r="49" spans="1:15" ht="15" thickBot="1">
      <c r="A49" s="106" t="s">
        <v>156</v>
      </c>
      <c r="B49" s="107"/>
      <c r="C49" s="107"/>
      <c r="D49" s="107"/>
      <c r="E49" s="107"/>
      <c r="F49" s="108"/>
      <c r="H49" s="104"/>
      <c r="J49" s="33" t="s">
        <v>74</v>
      </c>
      <c r="K49" s="34" t="s">
        <v>11</v>
      </c>
      <c r="L49" s="36" t="s">
        <v>11</v>
      </c>
      <c r="M49" s="36">
        <f>M45*M47</f>
        <v>0</v>
      </c>
      <c r="N49" s="36" t="s">
        <v>17</v>
      </c>
      <c r="O49" s="37"/>
    </row>
    <row r="50" spans="1:15" ht="15" thickBot="1">
      <c r="A50" s="1"/>
      <c r="B50" s="2" t="s">
        <v>2</v>
      </c>
      <c r="C50" s="3" t="s">
        <v>3</v>
      </c>
      <c r="D50" s="3" t="s">
        <v>4</v>
      </c>
      <c r="E50" s="3" t="s">
        <v>5</v>
      </c>
      <c r="F50" s="4" t="s">
        <v>6</v>
      </c>
      <c r="H50" s="104"/>
      <c r="J50" s="40" t="s">
        <v>121</v>
      </c>
      <c r="K50" s="53" t="s">
        <v>11</v>
      </c>
      <c r="L50" s="43" t="s">
        <v>11</v>
      </c>
      <c r="M50" s="36">
        <f>M46*M48</f>
        <v>0</v>
      </c>
      <c r="N50" s="14" t="s">
        <v>17</v>
      </c>
      <c r="O50" s="15"/>
    </row>
    <row r="51" spans="1:15" ht="15" thickBot="1">
      <c r="A51" s="5" t="s">
        <v>157</v>
      </c>
      <c r="B51" s="6" t="s">
        <v>0</v>
      </c>
      <c r="C51" s="7"/>
      <c r="D51" s="7">
        <f>D5+D28</f>
        <v>0</v>
      </c>
      <c r="E51" s="7" t="s">
        <v>9</v>
      </c>
      <c r="F51" s="9" t="s">
        <v>11</v>
      </c>
      <c r="H51" s="104"/>
      <c r="J51" s="184" t="s">
        <v>122</v>
      </c>
      <c r="K51" s="185"/>
      <c r="L51" s="186"/>
      <c r="M51" s="53">
        <f>M49+M50</f>
        <v>0</v>
      </c>
      <c r="N51" s="42" t="s">
        <v>17</v>
      </c>
      <c r="O51" s="55"/>
    </row>
    <row r="52" spans="1:15" ht="15" thickBot="1">
      <c r="A52" s="16" t="s">
        <v>158</v>
      </c>
      <c r="B52" s="11" t="s">
        <v>20</v>
      </c>
      <c r="C52" s="14"/>
      <c r="D52" s="17">
        <f>D15+D38</f>
        <v>1194052.7253433994</v>
      </c>
      <c r="E52" s="14" t="s">
        <v>17</v>
      </c>
      <c r="F52" s="15" t="s">
        <v>11</v>
      </c>
      <c r="H52" s="104"/>
      <c r="J52" s="190" t="s">
        <v>96</v>
      </c>
      <c r="K52" s="191"/>
      <c r="L52" s="191"/>
      <c r="M52" s="191"/>
      <c r="N52" s="191"/>
      <c r="O52" s="192"/>
    </row>
    <row r="53" spans="1:15" ht="15" thickBot="1">
      <c r="A53" s="19" t="s">
        <v>159</v>
      </c>
      <c r="B53" s="20" t="s">
        <v>160</v>
      </c>
      <c r="C53" s="21"/>
      <c r="D53" s="21">
        <f>D21+D46</f>
        <v>0</v>
      </c>
      <c r="E53" s="21" t="s">
        <v>17</v>
      </c>
      <c r="F53" s="22" t="s">
        <v>11</v>
      </c>
      <c r="H53" s="104"/>
      <c r="J53" s="27" t="s">
        <v>67</v>
      </c>
      <c r="K53" s="51" t="s">
        <v>11</v>
      </c>
      <c r="L53" s="97" t="s">
        <v>68</v>
      </c>
      <c r="M53" s="49">
        <v>1E-3</v>
      </c>
      <c r="N53" s="47" t="s">
        <v>66</v>
      </c>
      <c r="O53" s="50" t="s">
        <v>69</v>
      </c>
    </row>
    <row r="54" spans="1:15">
      <c r="H54" s="104"/>
      <c r="J54" s="33" t="s">
        <v>86</v>
      </c>
      <c r="K54" s="11" t="s">
        <v>11</v>
      </c>
      <c r="L54" s="14" t="s">
        <v>68</v>
      </c>
      <c r="M54" s="80">
        <v>3.5000000000000001E-3</v>
      </c>
      <c r="N54" s="14" t="s">
        <v>87</v>
      </c>
      <c r="O54" s="15"/>
    </row>
    <row r="55" spans="1:15">
      <c r="H55" s="104"/>
      <c r="J55" s="33" t="s">
        <v>123</v>
      </c>
      <c r="K55" s="11" t="s">
        <v>11</v>
      </c>
      <c r="L55" s="46" t="s">
        <v>124</v>
      </c>
      <c r="M55" s="80">
        <v>0.32</v>
      </c>
      <c r="N55" s="14" t="s">
        <v>66</v>
      </c>
      <c r="O55" s="15"/>
    </row>
    <row r="56" spans="1:15">
      <c r="H56" s="104"/>
      <c r="J56" s="33" t="s">
        <v>72</v>
      </c>
      <c r="K56" s="11" t="s">
        <v>11</v>
      </c>
      <c r="L56" s="78" t="s">
        <v>1</v>
      </c>
      <c r="M56" s="38"/>
      <c r="N56" s="14" t="s">
        <v>71</v>
      </c>
      <c r="O56" s="15"/>
    </row>
    <row r="57" spans="1:15">
      <c r="H57" s="104"/>
      <c r="J57" s="33" t="s">
        <v>125</v>
      </c>
      <c r="K57" s="11" t="s">
        <v>11</v>
      </c>
      <c r="L57" s="78" t="s">
        <v>1</v>
      </c>
      <c r="M57" s="38"/>
      <c r="N57" s="14" t="s">
        <v>91</v>
      </c>
      <c r="O57" s="15"/>
    </row>
    <row r="58" spans="1:15">
      <c r="H58" s="104"/>
      <c r="J58" s="33" t="s">
        <v>119</v>
      </c>
      <c r="K58" s="11" t="s">
        <v>11</v>
      </c>
      <c r="L58" s="78" t="s">
        <v>1</v>
      </c>
      <c r="M58" s="38"/>
      <c r="N58" s="14" t="s">
        <v>71</v>
      </c>
      <c r="O58" s="15"/>
    </row>
    <row r="59" spans="1:15">
      <c r="H59" s="104"/>
      <c r="J59" s="33" t="s">
        <v>74</v>
      </c>
      <c r="K59" s="34" t="s">
        <v>11</v>
      </c>
      <c r="L59" s="14" t="s">
        <v>11</v>
      </c>
      <c r="M59" s="14">
        <f>M53*M56</f>
        <v>0</v>
      </c>
      <c r="N59" s="36" t="s">
        <v>17</v>
      </c>
      <c r="O59" s="37"/>
    </row>
    <row r="60" spans="1:15">
      <c r="H60" s="104"/>
      <c r="J60" s="33" t="s">
        <v>127</v>
      </c>
      <c r="K60" s="34" t="s">
        <v>11</v>
      </c>
      <c r="L60" s="36" t="s">
        <v>11</v>
      </c>
      <c r="M60" s="14">
        <f t="shared" ref="M60:M61" si="0">M54*M57</f>
        <v>0</v>
      </c>
      <c r="N60" s="36" t="s">
        <v>17</v>
      </c>
      <c r="O60" s="37"/>
    </row>
    <row r="61" spans="1:15" ht="15" thickBot="1">
      <c r="H61" s="104"/>
      <c r="J61" s="40" t="s">
        <v>121</v>
      </c>
      <c r="K61" s="53" t="s">
        <v>11</v>
      </c>
      <c r="L61" s="43" t="s">
        <v>11</v>
      </c>
      <c r="M61" s="14">
        <f t="shared" si="0"/>
        <v>0</v>
      </c>
      <c r="N61" s="14" t="s">
        <v>17</v>
      </c>
      <c r="O61" s="15"/>
    </row>
    <row r="62" spans="1:15" ht="15" thickBot="1">
      <c r="H62" s="104"/>
      <c r="J62" s="147" t="s">
        <v>128</v>
      </c>
      <c r="K62" s="148"/>
      <c r="L62" s="149"/>
      <c r="M62" s="20">
        <f>M59+M60+M61</f>
        <v>0</v>
      </c>
      <c r="N62" s="59" t="s">
        <v>17</v>
      </c>
      <c r="O62" s="22"/>
    </row>
    <row r="63" spans="1:15" ht="15" thickBot="1">
      <c r="H63" s="104"/>
      <c r="J63" s="220" t="s">
        <v>75</v>
      </c>
      <c r="K63" s="221"/>
      <c r="L63" s="222"/>
      <c r="M63" s="1">
        <f>M51+M62</f>
        <v>0</v>
      </c>
      <c r="N63" s="57" t="s">
        <v>17</v>
      </c>
      <c r="O63" s="45"/>
    </row>
    <row r="64" spans="1:15">
      <c r="H64" s="104"/>
    </row>
    <row r="65" spans="8:15" ht="15" thickBot="1">
      <c r="H65" s="104"/>
    </row>
    <row r="66" spans="8:15" ht="15" thickBot="1">
      <c r="H66" s="104"/>
      <c r="J66" s="113" t="s">
        <v>76</v>
      </c>
      <c r="K66" s="114"/>
      <c r="L66" s="114"/>
      <c r="M66" s="114"/>
      <c r="N66" s="114"/>
      <c r="O66" s="115"/>
    </row>
    <row r="67" spans="8:15" ht="15" thickBot="1">
      <c r="H67" s="104"/>
      <c r="J67" s="57"/>
      <c r="K67" s="64" t="s">
        <v>2</v>
      </c>
      <c r="L67" s="65" t="s">
        <v>21</v>
      </c>
      <c r="M67" s="65" t="s">
        <v>4</v>
      </c>
      <c r="N67" s="65" t="s">
        <v>5</v>
      </c>
      <c r="O67" s="66" t="s">
        <v>6</v>
      </c>
    </row>
    <row r="68" spans="8:15" ht="15" thickBot="1">
      <c r="H68" s="104"/>
      <c r="J68" s="217" t="s">
        <v>129</v>
      </c>
      <c r="K68" s="218"/>
      <c r="L68" s="218"/>
      <c r="M68" s="218"/>
      <c r="N68" s="218"/>
      <c r="O68" s="219"/>
    </row>
    <row r="69" spans="8:15">
      <c r="H69" s="104"/>
      <c r="J69" s="94" t="s">
        <v>130</v>
      </c>
      <c r="K69" s="93" t="s">
        <v>11</v>
      </c>
      <c r="L69" s="48" t="s">
        <v>131</v>
      </c>
      <c r="M69" s="100">
        <v>5.47E-3</v>
      </c>
      <c r="N69" s="87" t="s">
        <v>66</v>
      </c>
      <c r="O69" s="88" t="s">
        <v>11</v>
      </c>
    </row>
    <row r="70" spans="8:15" ht="15" thickBot="1">
      <c r="H70" s="104"/>
      <c r="J70" s="39" t="s">
        <v>132</v>
      </c>
      <c r="K70" s="53" t="s">
        <v>11</v>
      </c>
      <c r="L70" s="101" t="s">
        <v>30</v>
      </c>
      <c r="M70" s="99"/>
      <c r="N70" s="14" t="s">
        <v>71</v>
      </c>
      <c r="O70" s="15" t="s">
        <v>133</v>
      </c>
    </row>
    <row r="71" spans="8:15" ht="15" thickBot="1">
      <c r="H71" s="104"/>
      <c r="J71" s="214" t="s">
        <v>134</v>
      </c>
      <c r="K71" s="215"/>
      <c r="L71" s="216"/>
      <c r="M71" s="89">
        <f>M70*M69</f>
        <v>0</v>
      </c>
      <c r="N71" s="21" t="s">
        <v>17</v>
      </c>
      <c r="O71" s="22" t="s">
        <v>11</v>
      </c>
    </row>
    <row r="72" spans="8:15">
      <c r="H72" s="104"/>
      <c r="M72" s="82"/>
    </row>
    <row r="73" spans="8:15">
      <c r="H73" s="104"/>
    </row>
    <row r="74" spans="8:15">
      <c r="H74" s="104"/>
    </row>
  </sheetData>
  <mergeCells count="29">
    <mergeCell ref="A24:F24"/>
    <mergeCell ref="A1:F1"/>
    <mergeCell ref="J1:O1"/>
    <mergeCell ref="J3:O3"/>
    <mergeCell ref="A5:C5"/>
    <mergeCell ref="J6:O6"/>
    <mergeCell ref="A7:F7"/>
    <mergeCell ref="J11:O11"/>
    <mergeCell ref="J13:O13"/>
    <mergeCell ref="A15:C15"/>
    <mergeCell ref="A17:F17"/>
    <mergeCell ref="A21:C21"/>
    <mergeCell ref="J51:L51"/>
    <mergeCell ref="J25:L25"/>
    <mergeCell ref="J26:O26"/>
    <mergeCell ref="A28:C28"/>
    <mergeCell ref="A30:F30"/>
    <mergeCell ref="A38:C38"/>
    <mergeCell ref="J38:L38"/>
    <mergeCell ref="J39:L39"/>
    <mergeCell ref="A40:F40"/>
    <mergeCell ref="J42:O42"/>
    <mergeCell ref="J44:O44"/>
    <mergeCell ref="A46:C46"/>
    <mergeCell ref="J52:O52"/>
    <mergeCell ref="J62:L62"/>
    <mergeCell ref="J63:L63"/>
    <mergeCell ref="J68:O68"/>
    <mergeCell ref="J71:L71"/>
  </mergeCells>
  <hyperlinks>
    <hyperlink ref="O39" r:id="rId1" location="v=onepage&amp;q=turton%20analysis%20synthesis%20third%20edition&amp;f=false" xr:uid="{59A3EFB4-849A-44A3-8CB9-E47A1BE804B6}"/>
    <hyperlink ref="L45" r:id="rId2" location="v=onepage&amp;q=turton%20analysis%20synthesis%20third%20edition&amp;f=false" xr:uid="{F57CBCEF-3664-4A89-BECC-48FD2C86B1ED}"/>
    <hyperlink ref="C4" r:id="rId3" xr:uid="{F27305B0-1C55-4205-BCFD-2A3066CD26B3}"/>
    <hyperlink ref="C13" r:id="rId4" xr:uid="{09BF2A63-A104-43EA-A1DA-BD36458F4C91}"/>
    <hyperlink ref="C14" r:id="rId5" xr:uid="{34DBC119-41D7-46C9-BD69-1CB132561CA0}"/>
    <hyperlink ref="L53" r:id="rId6" location="v=onepage&amp;q=turton%20analysis%20synthesis%20third%20edition&amp;f=false" xr:uid="{A7175029-9E9F-4C5C-95EB-1BAE721060F8}"/>
    <hyperlink ref="L69" r:id="rId7" xr:uid="{26DFCE99-3BBE-45DD-B18D-43599F392C0F}"/>
    <hyperlink ref="C27" r:id="rId8" xr:uid="{1793DAD2-D753-432C-9AF2-87977D0B7796}"/>
    <hyperlink ref="C36" r:id="rId9" xr:uid="{A1F549E4-E0DB-4D77-9A4C-5FDA91BE4B97}"/>
    <hyperlink ref="C37" r:id="rId10" xr:uid="{22E43FC1-9FE7-448D-8E13-2896B178C90F}"/>
    <hyperlink ref="L46" r:id="rId11" xr:uid="{956AAA9B-7E2A-4EF9-8EEB-F2EDFDAD2F01}"/>
    <hyperlink ref="L55" r:id="rId12" xr:uid="{CAEAF0E7-BC37-423A-8209-E5656B64B7C9}"/>
    <hyperlink ref="C19" r:id="rId13" xr:uid="{7D9798ED-BB9D-477D-BAD8-5274B397156B}"/>
    <hyperlink ref="C42" r:id="rId14" xr:uid="{094A2764-2498-4F6E-A21F-A4E6314850BA}"/>
    <hyperlink ref="C43" r:id="rId15" xr:uid="{E37FCDBC-01CA-412C-A7FC-8C0EDF7C1274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98E3E656550D04D8B353A1D701231E6" ma:contentTypeVersion="10" ma:contentTypeDescription="Create a new document." ma:contentTypeScope="" ma:versionID="aaaf65eb00cf97d2362d2f2df623439e">
  <xsd:schema xmlns:xsd="http://www.w3.org/2001/XMLSchema" xmlns:xs="http://www.w3.org/2001/XMLSchema" xmlns:p="http://schemas.microsoft.com/office/2006/metadata/properties" xmlns:ns2="5748228e-e0f9-481b-9bfa-9e08bfc05a98" xmlns:ns3="62c204ee-2bc8-4ae6-b59f-67db47926229" targetNamespace="http://schemas.microsoft.com/office/2006/metadata/properties" ma:root="true" ma:fieldsID="93a572e7b9bcb25669eb55b56076daf7" ns2:_="" ns3:_="">
    <xsd:import namespace="5748228e-e0f9-481b-9bfa-9e08bfc05a98"/>
    <xsd:import namespace="62c204ee-2bc8-4ae6-b59f-67db4792622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48228e-e0f9-481b-9bfa-9e08bfc05a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74661dae-d6df-48fc-a54e-a577d2899e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c204ee-2bc8-4ae6-b59f-67db47926229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24a41a4a-43e3-45b8-a0b2-a154e8e773d4}" ma:internalName="TaxCatchAll" ma:showField="CatchAllData" ma:web="62c204ee-2bc8-4ae6-b59f-67db479262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2c204ee-2bc8-4ae6-b59f-67db47926229" xsi:nil="true"/>
    <lcf76f155ced4ddcb4097134ff3c332f xmlns="5748228e-e0f9-481b-9bfa-9e08bfc05a9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D7D872E-8FDC-4EE9-9697-1C3F42873605}"/>
</file>

<file path=customXml/itemProps2.xml><?xml version="1.0" encoding="utf-8"?>
<ds:datastoreItem xmlns:ds="http://schemas.openxmlformats.org/officeDocument/2006/customXml" ds:itemID="{1103354A-4655-4302-8FFD-A6B614FE206D}"/>
</file>

<file path=customXml/itemProps3.xml><?xml version="1.0" encoding="utf-8"?>
<ds:datastoreItem xmlns:ds="http://schemas.openxmlformats.org/officeDocument/2006/customXml" ds:itemID="{AB3856CC-7E3B-458C-BE95-62914F8132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Woldeyes, Ezra</dc:creator>
  <cp:keywords/>
  <dc:description/>
  <cp:lastModifiedBy>Qian, Vanessa</cp:lastModifiedBy>
  <cp:revision/>
  <dcterms:created xsi:type="dcterms:W3CDTF">2025-03-29T14:05:37Z</dcterms:created>
  <dcterms:modified xsi:type="dcterms:W3CDTF">2025-04-15T19:46:35Z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0x010100498E3E656550D04D8B353A1D701231E6</vt:lpwstr>
  </property>
</Properties>
</file>